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260" yWindow="195" windowWidth="13005" windowHeight="8595" tabRatio="771"/>
  </bookViews>
  <sheets>
    <sheet name="РозрахТ" sheetId="1" r:id="rId1"/>
    <sheet name="РозрахВ" sheetId="13" r:id="rId2"/>
    <sheet name="1_ВОП" sheetId="4" r:id="rId3"/>
    <sheet name="людгод (сто)" sheetId="7" r:id="rId4"/>
    <sheet name="повіркаТ" sheetId="10" r:id="rId5"/>
    <sheet name="повіркаВ" sheetId="11" r:id="rId6"/>
    <sheet name="монтаж демонт" sheetId="18" r:id="rId7"/>
    <sheet name="транспортув" sheetId="15" r:id="rId8"/>
    <sheet name="людгод (транспортування)" sheetId="16" r:id="rId9"/>
    <sheet name="спецодяг" sheetId="17" r:id="rId10"/>
  </sheets>
  <definedNames>
    <definedName name="_xlnm.Print_Area" localSheetId="2">'1_ВОП'!$A$1:$I$31</definedName>
    <definedName name="_xlnm.Print_Area" localSheetId="3">'людгод (сто)'!$A$1:$O$25</definedName>
    <definedName name="_xlnm.Print_Area" localSheetId="8">'людгод (транспортування)'!$A$1:$P$25</definedName>
    <definedName name="_xlnm.Print_Area" localSheetId="6">'монтаж демонт'!$A$1:$H$37</definedName>
    <definedName name="_xlnm.Print_Area" localSheetId="5">повіркаВ!$A$1:$D$34</definedName>
    <definedName name="_xlnm.Print_Area" localSheetId="4">повіркаТ!$A$1:$D$29</definedName>
    <definedName name="_xlnm.Print_Area" localSheetId="1">РозрахВ!$A$1:$E$34</definedName>
    <definedName name="_xlnm.Print_Area" localSheetId="0">РозрахТ!$A$1:$E$32</definedName>
    <definedName name="_xlnm.Print_Area" localSheetId="9">спецодяг!$A$1:$F$42</definedName>
    <definedName name="_xlnm.Print_Area" localSheetId="7">транспортув!$A$1:$H$35</definedName>
  </definedNames>
  <calcPr calcId="124519"/>
</workbook>
</file>

<file path=xl/calcChain.xml><?xml version="1.0" encoding="utf-8"?>
<calcChain xmlns="http://schemas.openxmlformats.org/spreadsheetml/2006/main">
  <c r="G10" i="15"/>
  <c r="B10" i="7"/>
  <c r="B11"/>
  <c r="N12"/>
  <c r="B12"/>
  <c r="D7" i="10"/>
  <c r="E8" i="15"/>
  <c r="D11" i="10"/>
  <c r="D15" i="17"/>
  <c r="D14"/>
  <c r="D13"/>
  <c r="D12"/>
  <c r="D11"/>
  <c r="D10"/>
  <c r="D9"/>
  <c r="D8"/>
  <c r="D7"/>
  <c r="D6"/>
  <c r="D5"/>
  <c r="F10"/>
  <c r="F11"/>
  <c r="F13"/>
  <c r="F14"/>
  <c r="E9" i="15"/>
  <c r="G7" i="4"/>
  <c r="F15" i="17"/>
  <c r="D16"/>
  <c r="F16"/>
  <c r="F5"/>
  <c r="F6"/>
  <c r="F7"/>
  <c r="F8"/>
  <c r="F17" s="1"/>
  <c r="F9"/>
  <c r="F12"/>
  <c r="B10" i="16"/>
  <c r="G6" i="4"/>
  <c r="M11" i="7" l="1"/>
  <c r="O11" s="1"/>
  <c r="F19" i="17"/>
  <c r="F20" s="1"/>
  <c r="D17" i="13" l="1"/>
  <c r="D17" i="1"/>
  <c r="M10" i="7"/>
  <c r="M12" l="1"/>
  <c r="O12" s="1"/>
  <c r="O10"/>
  <c r="N10" i="16"/>
  <c r="P10" s="1"/>
  <c r="C5" i="15" s="1"/>
  <c r="C10" l="1"/>
  <c r="E5"/>
  <c r="G12" i="18"/>
  <c r="H12" s="1"/>
  <c r="G7"/>
  <c r="H7" s="1"/>
  <c r="H6" i="4"/>
  <c r="E6" i="15" l="1"/>
  <c r="E7"/>
  <c r="H8" i="18"/>
  <c r="H9"/>
  <c r="H7" i="4"/>
  <c r="I7" s="1"/>
  <c r="I6"/>
  <c r="H14" i="18"/>
  <c r="H13"/>
  <c r="H6" l="1"/>
  <c r="D8" i="10" s="1"/>
  <c r="E10" i="15"/>
  <c r="H10" s="1"/>
  <c r="D12" i="10" s="1"/>
  <c r="H11" i="18"/>
  <c r="D10" i="10" s="1"/>
  <c r="I8" i="4"/>
  <c r="D13" i="13" s="1"/>
  <c r="D10" i="11"/>
  <c r="D12"/>
  <c r="D8"/>
  <c r="D13" i="1" l="1"/>
  <c r="D15" s="1"/>
  <c r="D13" i="11"/>
  <c r="D15" s="1"/>
  <c r="D16" i="13" s="1"/>
  <c r="D13" i="10"/>
  <c r="D15" s="1"/>
  <c r="D16" i="1" s="1"/>
  <c r="D18"/>
  <c r="D18" i="13"/>
  <c r="D15"/>
  <c r="D14" l="1"/>
  <c r="D11" s="1"/>
  <c r="D21" s="1"/>
  <c r="D22" s="1"/>
  <c r="D23" s="1"/>
  <c r="D24" s="1"/>
  <c r="D26" s="1"/>
  <c r="D14" i="1"/>
  <c r="D11" s="1"/>
  <c r="D21" s="1"/>
  <c r="D22" s="1"/>
  <c r="D23" l="1"/>
  <c r="D24" s="1"/>
  <c r="D26" s="1"/>
</calcChain>
</file>

<file path=xl/sharedStrings.xml><?xml version="1.0" encoding="utf-8"?>
<sst xmlns="http://schemas.openxmlformats.org/spreadsheetml/2006/main" count="358" uniqueCount="175">
  <si>
    <t>№ з/п</t>
  </si>
  <si>
    <t>Одиниці виміру</t>
  </si>
  <si>
    <t>Статті витрат</t>
  </si>
  <si>
    <t>2.</t>
  </si>
  <si>
    <t>грн</t>
  </si>
  <si>
    <t>Сума витрат, грн</t>
  </si>
  <si>
    <t>№ п/п</t>
  </si>
  <si>
    <t>Прямі витрати на оплату праці</t>
  </si>
  <si>
    <t>Начальник ЦТПК</t>
  </si>
  <si>
    <t xml:space="preserve">Начальник ВТВ ЦТПК </t>
  </si>
  <si>
    <t>Вартість 1 люд-год,
 грн</t>
  </si>
  <si>
    <t>О. А. Дегтяр</t>
  </si>
  <si>
    <t>Доплата за умови праці</t>
  </si>
  <si>
    <t>Норма тривалості робочого часу в годинах при 40-годинному робочому тижні на рік</t>
  </si>
  <si>
    <t>Промисловий персонал</t>
  </si>
  <si>
    <t>Сума, грн.</t>
  </si>
  <si>
    <t xml:space="preserve">% </t>
  </si>
  <si>
    <t>Вартість 1 люд-год, грн.</t>
  </si>
  <si>
    <t>Матеріальна допомога до відпустки, грн.</t>
  </si>
  <si>
    <t>Разом додаткова заробітна плата, грн.</t>
  </si>
  <si>
    <t>Поточна премія, грн.</t>
  </si>
  <si>
    <t>За стаж роботи в енергетиці, грн.</t>
  </si>
  <si>
    <t>Окладний фонд, грн.</t>
  </si>
  <si>
    <t>Всього витрати на оплату праці на рік, грн.</t>
  </si>
  <si>
    <t>Інші виплати та заохочення</t>
  </si>
  <si>
    <t xml:space="preserve">        Додаткова заробітна плата </t>
  </si>
  <si>
    <t>Основна заробітна плата</t>
  </si>
  <si>
    <t>Кількість персоналу, чол.</t>
  </si>
  <si>
    <t>Посада</t>
  </si>
  <si>
    <t>Винагорода за підсумками роботи за рік, грн.</t>
  </si>
  <si>
    <t>Н. М. Євстігнєєва</t>
  </si>
  <si>
    <t xml:space="preserve">Харченко О. Л. </t>
  </si>
  <si>
    <t>62-0-81</t>
  </si>
  <si>
    <t>Начальник ВТВ ЦТПК                                                                                                                                     Н. М. Євстігнєєва</t>
  </si>
  <si>
    <t>Єдиний внесок на загальнообов'язкове  державне соціальне страхування (22% від ВОП)</t>
  </si>
  <si>
    <t>Додаток № 1</t>
  </si>
  <si>
    <t>Начальник  ЦТПК                                                                                                                                            О. А. Дегтяр</t>
  </si>
  <si>
    <t>Непромисловий персонал</t>
  </si>
  <si>
    <t>ТЕХНОЛОГІЧНА ГРУПА</t>
  </si>
  <si>
    <t>Прочищення фільтруючої сітки фільтру</t>
  </si>
  <si>
    <t>інженер</t>
  </si>
  <si>
    <t>Виконавець</t>
  </si>
  <si>
    <t>ДІЛЬНИЦЯ З САНІТАРНО-ТЕХНІЧНОГО ОБСЛУГОВУВАННЯ</t>
  </si>
  <si>
    <t>Витрати з розрахунку на місяць</t>
  </si>
  <si>
    <t>Кількість приміщень</t>
  </si>
  <si>
    <t>Всього планованих витрат з урахуванням планованого прибутку</t>
  </si>
  <si>
    <t>1.1.</t>
  </si>
  <si>
    <t>1.2.</t>
  </si>
  <si>
    <t>Інші прямі витрати, усього, у тому числі:</t>
  </si>
  <si>
    <t>1.3.</t>
  </si>
  <si>
    <t>1.3.1</t>
  </si>
  <si>
    <t>1.3.2</t>
  </si>
  <si>
    <t>1.4.</t>
  </si>
  <si>
    <t xml:space="preserve">3. </t>
  </si>
  <si>
    <t>Усього витрат повної планованої собівартості</t>
  </si>
  <si>
    <t>Найменування операцій</t>
  </si>
  <si>
    <t>прилад обліку</t>
  </si>
  <si>
    <t>слюсар-сантехнік 4 розряду</t>
  </si>
  <si>
    <t>Норма часу,
 люд-год</t>
  </si>
  <si>
    <t>Норма часу 
(1 ТО),
 люд-год</t>
  </si>
  <si>
    <t>К-сть працівників</t>
  </si>
  <si>
    <t>Найменування ТМЦ</t>
  </si>
  <si>
    <t>Ціна, грн</t>
  </si>
  <si>
    <t>Вартість, грн</t>
  </si>
  <si>
    <t>Демонтаж вузла комерційного обліку</t>
  </si>
  <si>
    <t>Монтаж вузла комерційного обліку</t>
  </si>
  <si>
    <t xml:space="preserve">Всього витрат на повірку 1 приладу </t>
  </si>
  <si>
    <t>Розпломбування лічильника</t>
  </si>
  <si>
    <t>Повірка</t>
  </si>
  <si>
    <t xml:space="preserve">Опломбування лічильника </t>
  </si>
  <si>
    <t>Од.виміру</t>
  </si>
  <si>
    <t>Розрахунок річних витрат на періодичну повірку 1 приладу обліку теплової енергії</t>
  </si>
  <si>
    <t>Міжповірочний інтервал, роки</t>
  </si>
  <si>
    <t>Витрати на повірку з розрахунку на один рік</t>
  </si>
  <si>
    <t xml:space="preserve">Прямі матеріальні витрати </t>
  </si>
  <si>
    <t>Слюсар-сантехнік 4 розряду</t>
  </si>
  <si>
    <t>Розрахунок річних витрат на оплату праці  
при виконанні робіт з технічного обслуговування 1 лічильника вузла комерційного обліку</t>
  </si>
  <si>
    <t>Од. виміру</t>
  </si>
  <si>
    <t xml:space="preserve">Транспортування лічильника </t>
  </si>
  <si>
    <t>Добові</t>
  </si>
  <si>
    <t>Витрати на оплату праці</t>
  </si>
  <si>
    <t xml:space="preserve">Витрати на транспортування 1 приладу обліку </t>
  </si>
  <si>
    <t xml:space="preserve">Всього витрат на 1 транспортування </t>
  </si>
  <si>
    <t xml:space="preserve">Всього річні витрати  на транспортування </t>
  </si>
  <si>
    <t>Всього витрат, грн</t>
  </si>
  <si>
    <t>Витрати на періодичну повірку</t>
  </si>
  <si>
    <t xml:space="preserve">Місячна тарифна ставка  (оклад), грн. (станом на 01/01/20) </t>
  </si>
  <si>
    <t xml:space="preserve">Місячна тарифна ставка  (оклад), грн. (станом на 01/07/20) </t>
  </si>
  <si>
    <t xml:space="preserve">Місячна тарифна ставка  (оклад), грн. (станом на 01/12/20) </t>
  </si>
  <si>
    <t xml:space="preserve">Кількість  транспортуваннь на рік </t>
  </si>
  <si>
    <t>Куртка утеплена</t>
  </si>
  <si>
    <t>Черевики шкіряні</t>
  </si>
  <si>
    <t>Напівчеревики</t>
  </si>
  <si>
    <t>Чоботи гумові</t>
  </si>
  <si>
    <t>Навушники</t>
  </si>
  <si>
    <t>Щиток захисний</t>
  </si>
  <si>
    <t>Каска захисна</t>
  </si>
  <si>
    <t>Окуляри захисні</t>
  </si>
  <si>
    <t>Підшоломник</t>
  </si>
  <si>
    <t>Рукавиці комбіновані</t>
  </si>
  <si>
    <t>Рукавиці гумові</t>
  </si>
  <si>
    <t>шт</t>
  </si>
  <si>
    <t>Кількість на рік</t>
  </si>
  <si>
    <t>Строк використання (місяців)</t>
  </si>
  <si>
    <t>до зносу</t>
  </si>
  <si>
    <t xml:space="preserve">Костюм бавовняний </t>
  </si>
  <si>
    <t>Разом витрат на рік</t>
  </si>
  <si>
    <t>Норма тривалості робочого часу на рік</t>
  </si>
  <si>
    <t>годин</t>
  </si>
  <si>
    <t>Витрати часу на рік 
(ТО 1 раз на 6 місяців)</t>
  </si>
  <si>
    <t>технік з обліку</t>
  </si>
  <si>
    <t>Річні витрати робочого часу на обслуговування 1 вузла комерційного обліку (ТО 1 раз на 6 місяців)</t>
  </si>
  <si>
    <t>грн.</t>
  </si>
  <si>
    <t>Розрахунок витрат на повірку 1 приладу обліку води</t>
  </si>
  <si>
    <t>Технік з обліку І категорії</t>
  </si>
  <si>
    <t xml:space="preserve">Розрахунок витрат на транспортування 1 приладу обліку </t>
  </si>
  <si>
    <t>Кількість років</t>
  </si>
  <si>
    <t>1.3.3</t>
  </si>
  <si>
    <t>Інші витрати (спецодяг, спецвзуття та інші ЗІЗ)</t>
  </si>
  <si>
    <t>Кількість приладів обліку, що транспортуються (протягом 4 років)</t>
  </si>
  <si>
    <t xml:space="preserve">У звязку з тим, що лічильники встановлені в різні періоди, протягом міжповірочного періоду (який становить 4 роки) траспортування здійснюється щокварталу. </t>
  </si>
  <si>
    <r>
      <t xml:space="preserve">Планована виробнича собівартість, всього, </t>
    </r>
    <r>
      <rPr>
        <sz val="11"/>
        <color indexed="8"/>
        <rFont val="Times New Roman"/>
        <family val="1"/>
        <charset val="204"/>
      </rPr>
      <t>у тому числі:</t>
    </r>
  </si>
  <si>
    <t>Загальновиробничі витрати</t>
  </si>
  <si>
    <r>
      <t>Адміністративні витрати, витрати на збут, інші витрати, пов'язані з обслуговуванням вузлів комерційного обліку</t>
    </r>
    <r>
      <rPr>
        <b/>
        <sz val="11"/>
        <color indexed="17"/>
        <rFont val="Times New Roman"/>
        <family val="1"/>
        <charset val="204"/>
      </rPr>
      <t/>
    </r>
  </si>
  <si>
    <t>Сума витрат</t>
  </si>
  <si>
    <t>Інші операційні витрати</t>
  </si>
  <si>
    <t>1.</t>
  </si>
  <si>
    <t>4.</t>
  </si>
  <si>
    <t>5.</t>
  </si>
  <si>
    <t>6.</t>
  </si>
  <si>
    <t>7.</t>
  </si>
  <si>
    <t>8.</t>
  </si>
  <si>
    <t>9.</t>
  </si>
  <si>
    <t>Примітка. 
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</si>
  <si>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Додаток № 1.1</t>
  </si>
  <si>
    <t>Розрахунок вартості 1 людино-години  персоналу, що виконує технічне обслуговування та заміну тепловодолічильника вузла комерційного обліку</t>
  </si>
  <si>
    <t>Додаток № 2</t>
  </si>
  <si>
    <t xml:space="preserve">Найменування </t>
  </si>
  <si>
    <t>Транспортування здійснює технік з обліку ЦТПК, витрати на оплату праці виходячи з розрахунку за 8 люд/год робочого часу</t>
  </si>
  <si>
    <t>Зовнішній огляд тепловодолічильника, перевірка на цілісність складових вузла комерційного обліку, відсутності протікання в місцях з’єднань складових частин, надійності з'єднань</t>
  </si>
  <si>
    <t>Розрахунок вартості 1 людино-години  персоналу, що здійснює транспортування вузлів комерційного обліку</t>
  </si>
  <si>
    <t xml:space="preserve">підрядна організація </t>
  </si>
  <si>
    <t>Додаток № 3</t>
  </si>
  <si>
    <t>Витрати з розрахунку на 1 вузол комерційного обліку</t>
  </si>
  <si>
    <t xml:space="preserve">Місячна тарифна ставка, грн. (станом на 01/01/20) </t>
  </si>
  <si>
    <t xml:space="preserve">Місячна тарифна ставка, грн. (станом на 01/07/20) </t>
  </si>
  <si>
    <t xml:space="preserve">Місячна тарифна ставка, грн. (станом на 01/12/20) </t>
  </si>
  <si>
    <t>Розрахунок інших витрат
 (спецодяг, спецвзуття та інші ЗІЗ  персоналу,  що виконує технічне обслуговування вузла комерційного обліку)</t>
  </si>
  <si>
    <t>Внесок з розрахунку на квартал без ПДВ</t>
  </si>
  <si>
    <t>Проїзд легковим транспортом ТрЦ (м. Рівне)</t>
  </si>
  <si>
    <t>Планований прибуток (3%)</t>
  </si>
  <si>
    <t>Демонтаж тепловодолічильника вузла комерційного обліку</t>
  </si>
  <si>
    <t>Монтаж тепловодолічильника вузла комерційного обліку</t>
  </si>
  <si>
    <t>Примітка. 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</si>
  <si>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Розрахунок витрат на демотаж та демонтаж лічильника вузла комерційного обліку</t>
  </si>
  <si>
    <t xml:space="preserve">Витрати на оплату праці  </t>
  </si>
  <si>
    <t>1.1</t>
  </si>
  <si>
    <t>1.2</t>
  </si>
  <si>
    <t>1.3</t>
  </si>
  <si>
    <t xml:space="preserve">Середня вартість 1 людино-години </t>
  </si>
  <si>
    <t xml:space="preserve">Примітка. 
Вартість повірки згідно діючого договору з ДП «Рівнестандартметрологія» від 16.03.2020 № 01/05/20/337/16-122-11-20-09341.
Вартість розпломбування, опломбування враховуючи кількість пломб - 3 шт.та собівартості даних послуг. </t>
  </si>
  <si>
    <t>Примітка. 
Вартість повірки згідно діючого договору з ДП «Рівнестандартметрологія» від 16.03.2020 № 01/05/20/337/16-122-11-20-09341.
Вартість розпломбування, опломбування враховуючи кількість пломб - 1 шт. та собівартості даних послуг.</t>
  </si>
  <si>
    <t>Додаток №  2.1</t>
  </si>
  <si>
    <t>Додаток № 2.2</t>
  </si>
  <si>
    <t>Додаток № 2.2.1.</t>
  </si>
  <si>
    <t>2.1</t>
  </si>
  <si>
    <t>2.2</t>
  </si>
  <si>
    <t>2.3</t>
  </si>
  <si>
    <t xml:space="preserve">Структура внеску за обслуговування                                                                                     одного вузла комерційного обліку теплової енергії </t>
  </si>
  <si>
    <t>Борис БІРУК</t>
  </si>
  <si>
    <t xml:space="preserve">Керуючий справами                                </t>
  </si>
  <si>
    <t>Додаток 2                                                                            до рішення виконавчого комітету                         Вараської міської ради                           ______________2020 року №____</t>
  </si>
  <si>
    <t xml:space="preserve">Керуючий справами </t>
  </si>
  <si>
    <t xml:space="preserve">Структура внеску за обслуговування                                                                                     одного вузла комерційного обліку води </t>
  </si>
  <si>
    <t>Додаток 5                                                                             до рішення виконавчого комітету                         Вараської міської ради                           ______________2020 року №____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</si>
</sst>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5" fillId="0" borderId="0"/>
    <xf numFmtId="0" fontId="9" fillId="0" borderId="0"/>
    <xf numFmtId="0" fontId="31" fillId="0" borderId="0"/>
    <xf numFmtId="0" fontId="1" fillId="0" borderId="0"/>
    <xf numFmtId="0" fontId="29" fillId="0" borderId="0"/>
    <xf numFmtId="0" fontId="5" fillId="0" borderId="0"/>
  </cellStyleXfs>
  <cellXfs count="21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6" applyNumberFormat="1" applyFont="1" applyFill="1"/>
    <xf numFmtId="0" fontId="3" fillId="0" borderId="0" xfId="6" applyNumberFormat="1" applyFont="1" applyFill="1"/>
    <xf numFmtId="0" fontId="6" fillId="0" borderId="0" xfId="6" applyNumberFormat="1" applyFont="1" applyFill="1" applyAlignment="1"/>
    <xf numFmtId="0" fontId="7" fillId="0" borderId="0" xfId="6" applyNumberFormat="1" applyFont="1" applyFill="1"/>
    <xf numFmtId="0" fontId="17" fillId="0" borderId="0" xfId="0" applyFont="1"/>
    <xf numFmtId="0" fontId="17" fillId="0" borderId="0" xfId="0" applyFont="1" applyBorder="1"/>
    <xf numFmtId="0" fontId="17" fillId="0" borderId="0" xfId="0" applyFont="1" applyFill="1"/>
    <xf numFmtId="0" fontId="16" fillId="0" borderId="0" xfId="0" applyFont="1" applyFill="1"/>
    <xf numFmtId="1" fontId="3" fillId="0" borderId="1" xfId="6" applyNumberFormat="1" applyFont="1" applyFill="1" applyBorder="1" applyAlignment="1">
      <alignment horizontal="center"/>
    </xf>
    <xf numFmtId="1" fontId="6" fillId="0" borderId="1" xfId="6" applyNumberFormat="1" applyFont="1" applyFill="1" applyBorder="1" applyAlignment="1">
      <alignment horizontal="center"/>
    </xf>
    <xf numFmtId="1" fontId="3" fillId="2" borderId="1" xfId="6" applyNumberFormat="1" applyFont="1" applyFill="1" applyBorder="1" applyAlignment="1">
      <alignment horizontal="center"/>
    </xf>
    <xf numFmtId="1" fontId="6" fillId="2" borderId="1" xfId="6" applyNumberFormat="1" applyFont="1" applyFill="1" applyBorder="1" applyAlignment="1">
      <alignment horizontal="center"/>
    </xf>
    <xf numFmtId="0" fontId="19" fillId="2" borderId="1" xfId="6" applyNumberFormat="1" applyFont="1" applyFill="1" applyBorder="1" applyAlignment="1">
      <alignment horizontal="center" vertical="center" wrapText="1"/>
    </xf>
    <xf numFmtId="0" fontId="20" fillId="0" borderId="0" xfId="6" applyNumberFormat="1" applyFont="1" applyFill="1" applyBorder="1" applyAlignment="1">
      <alignment horizontal="center" vertical="center"/>
    </xf>
    <xf numFmtId="0" fontId="21" fillId="0" borderId="0" xfId="6" applyNumberFormat="1" applyFont="1" applyFill="1" applyBorder="1" applyAlignment="1">
      <alignment horizontal="center" vertical="center"/>
    </xf>
    <xf numFmtId="0" fontId="22" fillId="0" borderId="0" xfId="6" applyNumberFormat="1" applyFont="1" applyFill="1" applyBorder="1" applyAlignment="1">
      <alignment horizontal="center" vertical="center"/>
    </xf>
    <xf numFmtId="0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right"/>
    </xf>
    <xf numFmtId="0" fontId="7" fillId="0" borderId="0" xfId="6" applyNumberFormat="1" applyFont="1" applyFill="1" applyAlignment="1"/>
    <xf numFmtId="0" fontId="7" fillId="0" borderId="0" xfId="0" applyFo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4" fillId="0" borderId="0" xfId="0" applyFont="1" applyAlignment="1"/>
    <xf numFmtId="0" fontId="7" fillId="0" borderId="0" xfId="0" applyFont="1" applyFill="1" applyAlignment="1"/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2" fontId="4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left" indent="7"/>
    </xf>
    <xf numFmtId="0" fontId="17" fillId="0" borderId="0" xfId="0" applyFont="1" applyBorder="1" applyAlignment="1">
      <alignment horizontal="left" indent="7"/>
    </xf>
    <xf numFmtId="0" fontId="11" fillId="0" borderId="0" xfId="0" applyFont="1" applyAlignment="1">
      <alignment horizontal="center"/>
    </xf>
    <xf numFmtId="0" fontId="11" fillId="0" borderId="0" xfId="0" applyFont="1"/>
    <xf numFmtId="0" fontId="17" fillId="0" borderId="0" xfId="0" applyFont="1" applyFill="1" applyAlignment="1">
      <alignment horizontal="left" indent="7"/>
    </xf>
    <xf numFmtId="0" fontId="6" fillId="0" borderId="0" xfId="0" applyFont="1" applyFill="1"/>
    <xf numFmtId="0" fontId="14" fillId="0" borderId="0" xfId="0" applyFont="1" applyAlignment="1"/>
    <xf numFmtId="2" fontId="8" fillId="0" borderId="0" xfId="0" applyNumberFormat="1" applyFont="1"/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4" fillId="0" borderId="1" xfId="0" applyFont="1" applyBorder="1" applyAlignment="1">
      <alignment vertical="center" wrapText="1"/>
    </xf>
    <xf numFmtId="0" fontId="24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" fontId="8" fillId="2" borderId="1" xfId="6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6" applyNumberFormat="1" applyFont="1" applyFill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Alignment="1"/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1" fontId="6" fillId="2" borderId="1" xfId="6" applyNumberFormat="1" applyFont="1" applyFill="1" applyBorder="1" applyAlignment="1">
      <alignment horizontal="center" vertical="center" wrapText="1"/>
    </xf>
    <xf numFmtId="0" fontId="7" fillId="0" borderId="0" xfId="3" applyFont="1"/>
    <xf numFmtId="0" fontId="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2" fontId="7" fillId="2" borderId="1" xfId="3" applyNumberFormat="1" applyFont="1" applyFill="1" applyBorder="1" applyAlignment="1">
      <alignment horizontal="center" vertical="center"/>
    </xf>
    <xf numFmtId="2" fontId="7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64" fontId="7" fillId="2" borderId="1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2" fontId="7" fillId="0" borderId="1" xfId="3" applyNumberFormat="1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7" fillId="0" borderId="0" xfId="3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3" fillId="0" borderId="1" xfId="6" applyNumberFormat="1" applyFont="1" applyFill="1" applyBorder="1" applyAlignment="1"/>
    <xf numFmtId="0" fontId="3" fillId="0" borderId="1" xfId="6" applyNumberFormat="1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Border="1" applyAlignment="1">
      <alignment horizontal="center"/>
    </xf>
    <xf numFmtId="2" fontId="6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6" fillId="2" borderId="1" xfId="6" applyNumberFormat="1" applyFont="1" applyFill="1" applyBorder="1" applyAlignment="1"/>
    <xf numFmtId="1" fontId="6" fillId="2" borderId="1" xfId="6" applyNumberFormat="1" applyFont="1" applyFill="1" applyBorder="1" applyAlignment="1">
      <alignment vertical="center" wrapText="1"/>
    </xf>
    <xf numFmtId="1" fontId="6" fillId="2" borderId="1" xfId="6" applyNumberFormat="1" applyFont="1" applyFill="1" applyBorder="1" applyAlignment="1">
      <alignment horizontal="center" vertical="center"/>
    </xf>
    <xf numFmtId="1" fontId="6" fillId="0" borderId="1" xfId="6" applyNumberFormat="1" applyFont="1" applyFill="1" applyBorder="1" applyAlignment="1">
      <alignment horizontal="center" vertical="center"/>
    </xf>
    <xf numFmtId="1" fontId="3" fillId="0" borderId="1" xfId="6" applyNumberFormat="1" applyFont="1" applyFill="1" applyBorder="1" applyAlignment="1">
      <alignment horizontal="center" vertical="center"/>
    </xf>
    <xf numFmtId="2" fontId="3" fillId="0" borderId="1" xfId="6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2" fontId="2" fillId="0" borderId="0" xfId="0" applyNumberFormat="1" applyFont="1"/>
    <xf numFmtId="0" fontId="6" fillId="0" borderId="1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vertical="center"/>
    </xf>
    <xf numFmtId="0" fontId="6" fillId="0" borderId="1" xfId="0" applyFont="1" applyFill="1" applyBorder="1"/>
    <xf numFmtId="165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49" fontId="8" fillId="0" borderId="0" xfId="0" applyNumberFormat="1" applyFont="1"/>
    <xf numFmtId="49" fontId="7" fillId="0" borderId="0" xfId="0" applyNumberFormat="1" applyFont="1" applyAlignment="1">
      <alignment horizontal="center"/>
    </xf>
    <xf numFmtId="49" fontId="2" fillId="0" borderId="0" xfId="0" applyNumberFormat="1" applyFont="1"/>
    <xf numFmtId="0" fontId="30" fillId="0" borderId="1" xfId="6" applyNumberFormat="1" applyFont="1" applyFill="1" applyBorder="1" applyAlignment="1">
      <alignment horizontal="center"/>
    </xf>
    <xf numFmtId="0" fontId="18" fillId="0" borderId="1" xfId="6" applyNumberFormat="1" applyFont="1" applyFill="1" applyBorder="1" applyAlignment="1">
      <alignment horizontal="center"/>
    </xf>
    <xf numFmtId="1" fontId="18" fillId="0" borderId="1" xfId="6" applyNumberFormat="1" applyFont="1" applyFill="1" applyBorder="1" applyAlignment="1">
      <alignment horizontal="center"/>
    </xf>
    <xf numFmtId="1" fontId="30" fillId="0" borderId="1" xfId="6" applyNumberFormat="1" applyFont="1" applyFill="1" applyBorder="1" applyAlignment="1">
      <alignment horizontal="center"/>
    </xf>
    <xf numFmtId="1" fontId="23" fillId="2" borderId="1" xfId="6" applyNumberFormat="1" applyFont="1" applyFill="1" applyBorder="1" applyAlignment="1"/>
    <xf numFmtId="1" fontId="8" fillId="2" borderId="1" xfId="6" applyNumberFormat="1" applyFont="1" applyFill="1" applyBorder="1" applyAlignment="1">
      <alignment vertical="center" wrapText="1"/>
    </xf>
    <xf numFmtId="1" fontId="8" fillId="2" borderId="1" xfId="6" applyNumberFormat="1" applyFont="1" applyFill="1" applyBorder="1" applyAlignment="1">
      <alignment horizontal="center" vertical="center"/>
    </xf>
    <xf numFmtId="1" fontId="8" fillId="0" borderId="1" xfId="6" applyNumberFormat="1" applyFont="1" applyFill="1" applyBorder="1" applyAlignment="1">
      <alignment horizontal="center" vertical="center"/>
    </xf>
    <xf numFmtId="1" fontId="8" fillId="0" borderId="2" xfId="6" applyNumberFormat="1" applyFont="1" applyFill="1" applyBorder="1" applyAlignment="1">
      <alignment horizontal="center" vertical="center"/>
    </xf>
    <xf numFmtId="1" fontId="18" fillId="0" borderId="1" xfId="6" applyNumberFormat="1" applyFont="1" applyFill="1" applyBorder="1" applyAlignment="1">
      <alignment horizontal="center" vertical="center"/>
    </xf>
    <xf numFmtId="2" fontId="18" fillId="0" borderId="1" xfId="6" applyNumberFormat="1" applyFont="1" applyFill="1" applyBorder="1" applyAlignment="1">
      <alignment horizontal="center" vertical="center"/>
    </xf>
    <xf numFmtId="0" fontId="17" fillId="0" borderId="3" xfId="0" applyFont="1" applyFill="1" applyBorder="1"/>
    <xf numFmtId="0" fontId="17" fillId="0" borderId="9" xfId="0" applyFont="1" applyFill="1" applyBorder="1"/>
    <xf numFmtId="0" fontId="33" fillId="0" borderId="0" xfId="0" applyFont="1" applyAlignment="1">
      <alignment horizontal="left"/>
    </xf>
    <xf numFmtId="0" fontId="3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/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19" fillId="0" borderId="4" xfId="0" applyFont="1" applyFill="1" applyBorder="1" applyAlignment="1">
      <alignment horizontal="left" wrapText="1"/>
    </xf>
    <xf numFmtId="0" fontId="12" fillId="0" borderId="0" xfId="6" applyNumberFormat="1" applyFont="1" applyFill="1" applyBorder="1" applyAlignment="1">
      <alignment horizontal="center" vertical="center"/>
    </xf>
    <xf numFmtId="0" fontId="18" fillId="0" borderId="8" xfId="6" applyNumberFormat="1" applyFont="1" applyFill="1" applyBorder="1" applyAlignment="1">
      <alignment horizontal="center" vertical="center" wrapText="1"/>
    </xf>
    <xf numFmtId="0" fontId="18" fillId="0" borderId="6" xfId="6" applyNumberFormat="1" applyFont="1" applyFill="1" applyBorder="1" applyAlignment="1">
      <alignment horizontal="center" vertical="center" wrapText="1"/>
    </xf>
    <xf numFmtId="0" fontId="18" fillId="0" borderId="7" xfId="6" applyNumberFormat="1" applyFont="1" applyFill="1" applyBorder="1" applyAlignment="1">
      <alignment horizontal="center" vertical="center" wrapText="1"/>
    </xf>
    <xf numFmtId="0" fontId="19" fillId="0" borderId="8" xfId="6" applyNumberFormat="1" applyFont="1" applyFill="1" applyBorder="1" applyAlignment="1">
      <alignment horizontal="center" vertical="center" wrapText="1"/>
    </xf>
    <xf numFmtId="0" fontId="19" fillId="0" borderId="6" xfId="6" applyNumberFormat="1" applyFont="1" applyFill="1" applyBorder="1" applyAlignment="1">
      <alignment horizontal="center" vertical="center" wrapText="1"/>
    </xf>
    <xf numFmtId="0" fontId="19" fillId="0" borderId="7" xfId="6" applyNumberFormat="1" applyFont="1" applyFill="1" applyBorder="1" applyAlignment="1">
      <alignment horizontal="center" vertical="center" wrapText="1"/>
    </xf>
    <xf numFmtId="0" fontId="19" fillId="2" borderId="2" xfId="6" applyNumberFormat="1" applyFont="1" applyFill="1" applyBorder="1" applyAlignment="1">
      <alignment horizontal="center" vertical="center" wrapText="1"/>
    </xf>
    <xf numFmtId="0" fontId="19" fillId="2" borderId="3" xfId="6" applyNumberFormat="1" applyFont="1" applyFill="1" applyBorder="1" applyAlignment="1">
      <alignment horizontal="center" vertical="center" wrapText="1"/>
    </xf>
    <xf numFmtId="0" fontId="19" fillId="2" borderId="9" xfId="6" applyNumberFormat="1" applyFont="1" applyFill="1" applyBorder="1" applyAlignment="1">
      <alignment horizontal="center" vertical="center" wrapText="1"/>
    </xf>
    <xf numFmtId="0" fontId="19" fillId="2" borderId="2" xfId="6" applyNumberFormat="1" applyFont="1" applyFill="1" applyBorder="1" applyAlignment="1">
      <alignment horizontal="center" vertical="center"/>
    </xf>
    <xf numFmtId="0" fontId="19" fillId="2" borderId="3" xfId="6" applyNumberFormat="1" applyFont="1" applyFill="1" applyBorder="1" applyAlignment="1">
      <alignment horizontal="center" vertical="center"/>
    </xf>
    <xf numFmtId="0" fontId="19" fillId="2" borderId="9" xfId="6" applyNumberFormat="1" applyFont="1" applyFill="1" applyBorder="1" applyAlignment="1">
      <alignment horizontal="center" vertical="center"/>
    </xf>
    <xf numFmtId="0" fontId="19" fillId="2" borderId="8" xfId="6" applyNumberFormat="1" applyFont="1" applyFill="1" applyBorder="1" applyAlignment="1">
      <alignment horizontal="center" vertical="center" wrapText="1"/>
    </xf>
    <xf numFmtId="0" fontId="19" fillId="2" borderId="6" xfId="6" applyNumberFormat="1" applyFont="1" applyFill="1" applyBorder="1" applyAlignment="1">
      <alignment horizontal="center" vertical="center" wrapText="1"/>
    </xf>
    <xf numFmtId="0" fontId="19" fillId="2" borderId="7" xfId="6" applyNumberFormat="1" applyFont="1" applyFill="1" applyBorder="1" applyAlignment="1">
      <alignment horizontal="center" vertical="center" wrapText="1"/>
    </xf>
    <xf numFmtId="0" fontId="19" fillId="2" borderId="5" xfId="6" applyNumberFormat="1" applyFont="1" applyFill="1" applyBorder="1" applyAlignment="1">
      <alignment horizontal="center" vertical="center" wrapText="1"/>
    </xf>
    <xf numFmtId="0" fontId="19" fillId="2" borderId="10" xfId="6" applyNumberFormat="1" applyFont="1" applyFill="1" applyBorder="1" applyAlignment="1">
      <alignment horizontal="center" vertical="center" wrapText="1"/>
    </xf>
    <xf numFmtId="0" fontId="19" fillId="2" borderId="11" xfId="6" applyNumberFormat="1" applyFont="1" applyFill="1" applyBorder="1" applyAlignment="1">
      <alignment horizontal="center" vertical="center" wrapText="1"/>
    </xf>
    <xf numFmtId="0" fontId="19" fillId="2" borderId="12" xfId="6" applyNumberFormat="1" applyFont="1" applyFill="1" applyBorder="1" applyAlignment="1">
      <alignment horizontal="center" vertical="center" wrapText="1"/>
    </xf>
    <xf numFmtId="0" fontId="19" fillId="2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3" fillId="0" borderId="5" xfId="6" applyNumberFormat="1" applyFont="1" applyFill="1" applyBorder="1" applyAlignment="1">
      <alignment horizontal="center" vertical="center" wrapText="1"/>
    </xf>
    <xf numFmtId="0" fontId="23" fillId="0" borderId="13" xfId="6" applyNumberFormat="1" applyFont="1" applyFill="1" applyBorder="1" applyAlignment="1">
      <alignment horizontal="center" vertical="center" wrapText="1"/>
    </xf>
    <xf numFmtId="0" fontId="23" fillId="0" borderId="11" xfId="6" applyNumberFormat="1" applyFont="1" applyFill="1" applyBorder="1" applyAlignment="1">
      <alignment horizontal="center" vertical="center" wrapText="1"/>
    </xf>
    <xf numFmtId="1" fontId="19" fillId="2" borderId="8" xfId="6" applyNumberFormat="1" applyFont="1" applyFill="1" applyBorder="1" applyAlignment="1">
      <alignment horizontal="center" vertical="center" wrapText="1"/>
    </xf>
    <xf numFmtId="1" fontId="19" fillId="2" borderId="6" xfId="6" applyNumberFormat="1" applyFont="1" applyFill="1" applyBorder="1" applyAlignment="1">
      <alignment horizontal="center" vertical="center" wrapText="1"/>
    </xf>
    <xf numFmtId="1" fontId="19" fillId="2" borderId="7" xfId="6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19" fillId="0" borderId="8" xfId="6" applyNumberFormat="1" applyFont="1" applyFill="1" applyBorder="1" applyAlignment="1">
      <alignment horizontal="center" vertical="top" wrapText="1"/>
    </xf>
    <xf numFmtId="0" fontId="19" fillId="0" borderId="6" xfId="6" applyNumberFormat="1" applyFont="1" applyFill="1" applyBorder="1" applyAlignment="1">
      <alignment horizontal="center" vertical="top" wrapText="1"/>
    </xf>
    <xf numFmtId="0" fontId="19" fillId="0" borderId="7" xfId="6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indent="7"/>
    </xf>
    <xf numFmtId="0" fontId="23" fillId="0" borderId="5" xfId="6" applyNumberFormat="1" applyFont="1" applyFill="1" applyBorder="1" applyAlignment="1">
      <alignment horizontal="center" wrapText="1"/>
    </xf>
    <xf numFmtId="0" fontId="23" fillId="0" borderId="13" xfId="6" applyNumberFormat="1" applyFont="1" applyFill="1" applyBorder="1" applyAlignment="1">
      <alignment horizontal="center" wrapText="1"/>
    </xf>
    <xf numFmtId="0" fontId="23" fillId="0" borderId="11" xfId="6" applyNumberFormat="1" applyFont="1" applyFill="1" applyBorder="1" applyAlignment="1">
      <alignment horizontal="center" wrapText="1"/>
    </xf>
    <xf numFmtId="0" fontId="6" fillId="0" borderId="0" xfId="3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4" xfId="4"/>
    <cellStyle name="Обычный 3_Обслуговування-2" xfId="5"/>
    <cellStyle name="Обычный_СЕЗ кошторис-2016 (на основі 01.10.2015)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U34"/>
  <sheetViews>
    <sheetView tabSelected="1" view="pageBreakPreview" topLeftCell="A22" zoomScale="90" zoomScaleSheetLayoutView="90" workbookViewId="0">
      <selection activeCell="B31" sqref="B31"/>
    </sheetView>
  </sheetViews>
  <sheetFormatPr defaultRowHeight="15"/>
  <cols>
    <col min="1" max="1" width="9.28515625" style="9" customWidth="1"/>
    <col min="2" max="2" width="53.7109375" style="1" customWidth="1"/>
    <col min="3" max="3" width="9.7109375" style="1" customWidth="1"/>
    <col min="4" max="4" width="18.7109375" style="9" customWidth="1"/>
    <col min="5" max="5" width="7.85546875" style="9" customWidth="1"/>
    <col min="6" max="6" width="8.140625" style="1" customWidth="1"/>
    <col min="7" max="16384" width="9.140625" style="1"/>
  </cols>
  <sheetData>
    <row r="1" spans="1:7" ht="81" customHeight="1">
      <c r="A1" s="11"/>
      <c r="B1" s="10"/>
      <c r="C1" s="165" t="s">
        <v>171</v>
      </c>
      <c r="D1" s="166"/>
      <c r="E1" s="166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5" spans="1:7">
      <c r="A5" s="1"/>
    </row>
    <row r="6" spans="1:7" ht="15.75">
      <c r="B6" s="64"/>
      <c r="C6" s="51"/>
      <c r="D6" s="51"/>
      <c r="E6" s="51"/>
      <c r="F6" s="51"/>
    </row>
    <row r="7" spans="1:7" ht="38.25" customHeight="1">
      <c r="A7" s="164" t="s">
        <v>168</v>
      </c>
      <c r="B7" s="164"/>
      <c r="C7" s="164"/>
      <c r="D7" s="164"/>
      <c r="E7" s="164"/>
      <c r="F7" s="51"/>
    </row>
    <row r="8" spans="1:7" ht="15.75">
      <c r="A8" s="51"/>
      <c r="B8" s="64"/>
      <c r="C8" s="51"/>
      <c r="D8" s="51"/>
      <c r="E8" s="51"/>
      <c r="F8" s="51"/>
    </row>
    <row r="10" spans="1:7" s="3" customFormat="1" ht="30" customHeight="1">
      <c r="A10" s="2" t="s">
        <v>0</v>
      </c>
      <c r="B10" s="2" t="s">
        <v>2</v>
      </c>
      <c r="C10" s="2" t="s">
        <v>1</v>
      </c>
      <c r="D10" s="2" t="s">
        <v>124</v>
      </c>
      <c r="E10" s="109"/>
    </row>
    <row r="11" spans="1:7" s="43" customFormat="1" ht="21.75" customHeight="1">
      <c r="A11" s="61" t="s">
        <v>126</v>
      </c>
      <c r="B11" s="59" t="s">
        <v>121</v>
      </c>
      <c r="C11" s="62" t="s">
        <v>4</v>
      </c>
      <c r="D11" s="42">
        <f>D12+D13+D14+D18</f>
        <v>714.2299999999999</v>
      </c>
      <c r="E11" s="110"/>
    </row>
    <row r="12" spans="1:7" ht="21.75" customHeight="1">
      <c r="A12" s="14" t="s">
        <v>46</v>
      </c>
      <c r="B12" s="5" t="s">
        <v>74</v>
      </c>
      <c r="C12" s="63" t="s">
        <v>4</v>
      </c>
      <c r="D12" s="13">
        <v>0</v>
      </c>
      <c r="E12" s="111"/>
    </row>
    <row r="13" spans="1:7" ht="21.75" customHeight="1">
      <c r="A13" s="14" t="s">
        <v>47</v>
      </c>
      <c r="B13" s="5" t="s">
        <v>7</v>
      </c>
      <c r="C13" s="63" t="s">
        <v>4</v>
      </c>
      <c r="D13" s="13">
        <f>'1_ВОП'!I8</f>
        <v>20.72</v>
      </c>
      <c r="E13" s="111"/>
    </row>
    <row r="14" spans="1:7" ht="21.75" customHeight="1">
      <c r="A14" s="14" t="s">
        <v>49</v>
      </c>
      <c r="B14" s="5" t="s">
        <v>48</v>
      </c>
      <c r="C14" s="63" t="s">
        <v>4</v>
      </c>
      <c r="D14" s="13">
        <f>SUM(D15:D17)</f>
        <v>689.71999999999991</v>
      </c>
      <c r="E14" s="111"/>
    </row>
    <row r="15" spans="1:7" ht="30">
      <c r="A15" s="14" t="s">
        <v>50</v>
      </c>
      <c r="B15" s="5" t="s">
        <v>34</v>
      </c>
      <c r="C15" s="63" t="s">
        <v>4</v>
      </c>
      <c r="D15" s="13">
        <f>ROUND(D13*0.22,2)</f>
        <v>4.5599999999999996</v>
      </c>
      <c r="E15" s="111"/>
    </row>
    <row r="16" spans="1:7" ht="21.75" customHeight="1">
      <c r="A16" s="14" t="s">
        <v>51</v>
      </c>
      <c r="B16" s="5" t="s">
        <v>85</v>
      </c>
      <c r="C16" s="63" t="s">
        <v>4</v>
      </c>
      <c r="D16" s="13">
        <f>повіркаТ!D15</f>
        <v>684.66</v>
      </c>
      <c r="E16" s="111"/>
    </row>
    <row r="17" spans="1:8" ht="21.75" customHeight="1">
      <c r="A17" s="14" t="s">
        <v>117</v>
      </c>
      <c r="B17" s="5" t="s">
        <v>118</v>
      </c>
      <c r="C17" s="63" t="s">
        <v>4</v>
      </c>
      <c r="D17" s="13">
        <f>спецодяг!F20</f>
        <v>0.5</v>
      </c>
      <c r="E17" s="111"/>
    </row>
    <row r="18" spans="1:8" ht="21.75" customHeight="1">
      <c r="A18" s="14" t="s">
        <v>52</v>
      </c>
      <c r="B18" s="5" t="s">
        <v>122</v>
      </c>
      <c r="C18" s="63" t="s">
        <v>4</v>
      </c>
      <c r="D18" s="13">
        <f>ROUND(D13*18.3%,2)</f>
        <v>3.79</v>
      </c>
      <c r="E18" s="111"/>
      <c r="F18" s="55"/>
    </row>
    <row r="19" spans="1:8" s="43" customFormat="1" ht="33" customHeight="1">
      <c r="A19" s="8" t="s">
        <v>3</v>
      </c>
      <c r="B19" s="59" t="s">
        <v>123</v>
      </c>
      <c r="C19" s="62" t="s">
        <v>4</v>
      </c>
      <c r="D19" s="42">
        <v>0</v>
      </c>
      <c r="E19" s="110"/>
      <c r="F19" s="60"/>
    </row>
    <row r="20" spans="1:8" s="43" customFormat="1" ht="21.75" customHeight="1">
      <c r="A20" s="8" t="s">
        <v>53</v>
      </c>
      <c r="B20" s="54" t="s">
        <v>125</v>
      </c>
      <c r="C20" s="62" t="s">
        <v>4</v>
      </c>
      <c r="D20" s="44">
        <v>0</v>
      </c>
      <c r="E20" s="112"/>
    </row>
    <row r="21" spans="1:8" s="43" customFormat="1" ht="21.75" customHeight="1">
      <c r="A21" s="8" t="s">
        <v>127</v>
      </c>
      <c r="B21" s="54" t="s">
        <v>54</v>
      </c>
      <c r="C21" s="62" t="s">
        <v>4</v>
      </c>
      <c r="D21" s="44">
        <f>D11+D19+D20</f>
        <v>714.2299999999999</v>
      </c>
      <c r="E21" s="112"/>
    </row>
    <row r="22" spans="1:8" s="43" customFormat="1" ht="21.75" customHeight="1">
      <c r="A22" s="61" t="s">
        <v>128</v>
      </c>
      <c r="B22" s="59" t="s">
        <v>150</v>
      </c>
      <c r="C22" s="62" t="s">
        <v>4</v>
      </c>
      <c r="D22" s="42">
        <f>ROUND(D21*0.03,2)</f>
        <v>21.43</v>
      </c>
      <c r="E22" s="110"/>
    </row>
    <row r="23" spans="1:8" s="43" customFormat="1" ht="28.5">
      <c r="A23" s="61" t="s">
        <v>129</v>
      </c>
      <c r="B23" s="59" t="s">
        <v>45</v>
      </c>
      <c r="C23" s="62" t="s">
        <v>4</v>
      </c>
      <c r="D23" s="42">
        <f>D21+D22</f>
        <v>735.65999999999985</v>
      </c>
      <c r="E23" s="110"/>
      <c r="F23" s="138"/>
    </row>
    <row r="24" spans="1:8" ht="21.75" customHeight="1">
      <c r="A24" s="61" t="s">
        <v>130</v>
      </c>
      <c r="B24" s="59" t="s">
        <v>43</v>
      </c>
      <c r="C24" s="62" t="s">
        <v>4</v>
      </c>
      <c r="D24" s="42">
        <f>ROUND(D23/12,2)</f>
        <v>61.31</v>
      </c>
      <c r="E24" s="110"/>
    </row>
    <row r="25" spans="1:8" ht="21.75" customHeight="1">
      <c r="A25" s="61" t="s">
        <v>131</v>
      </c>
      <c r="B25" s="59" t="s">
        <v>44</v>
      </c>
      <c r="C25" s="62"/>
      <c r="D25" s="83">
        <v>1</v>
      </c>
      <c r="E25" s="113"/>
    </row>
    <row r="26" spans="1:8" ht="21.75" customHeight="1">
      <c r="A26" s="61" t="s">
        <v>132</v>
      </c>
      <c r="B26" s="59" t="s">
        <v>148</v>
      </c>
      <c r="C26" s="62" t="s">
        <v>4</v>
      </c>
      <c r="D26" s="42">
        <f>ROUND(D24*3,2)</f>
        <v>183.93</v>
      </c>
      <c r="E26" s="110"/>
    </row>
    <row r="28" spans="1:8" s="15" customFormat="1" ht="75" customHeight="1">
      <c r="A28" s="57"/>
      <c r="B28" s="16"/>
      <c r="D28" s="16"/>
      <c r="E28" s="16"/>
      <c r="H28" s="52"/>
    </row>
    <row r="29" spans="1:8" s="15" customFormat="1" ht="21">
      <c r="A29" s="167" t="s">
        <v>170</v>
      </c>
      <c r="B29" s="168"/>
      <c r="C29" s="167" t="s">
        <v>169</v>
      </c>
      <c r="D29" s="169"/>
      <c r="E29" s="16"/>
      <c r="H29" s="52"/>
    </row>
    <row r="30" spans="1:8" s="15" customFormat="1" ht="15.75">
      <c r="A30" s="57"/>
      <c r="B30" s="16"/>
      <c r="D30" s="16"/>
      <c r="E30" s="16"/>
    </row>
    <row r="31" spans="1:8" s="15" customFormat="1" ht="15.75">
      <c r="A31" s="57"/>
      <c r="B31" s="17"/>
      <c r="D31" s="16"/>
      <c r="E31" s="16"/>
    </row>
    <row r="32" spans="1:8" s="15" customFormat="1" ht="15.75">
      <c r="A32" s="57"/>
      <c r="B32" s="16"/>
      <c r="D32" s="16"/>
      <c r="E32" s="16"/>
    </row>
    <row r="33" spans="1:21" s="10" customFormat="1" ht="15.75">
      <c r="A33" s="58"/>
      <c r="U33" s="12"/>
    </row>
    <row r="34" spans="1:21" s="10" customFormat="1" ht="15.75">
      <c r="A34" s="58"/>
      <c r="U34" s="12"/>
    </row>
  </sheetData>
  <mergeCells count="4">
    <mergeCell ref="A7:E7"/>
    <mergeCell ref="C1:E1"/>
    <mergeCell ref="A29:B29"/>
    <mergeCell ref="C29:D29"/>
  </mergeCells>
  <phoneticPr fontId="28" type="noConversion"/>
  <pageMargins left="1.35" right="0.19685039370078741" top="0.57999999999999996" bottom="0.24" header="0.31496062992125984" footer="0.31496062992125984"/>
  <pageSetup paperSize="9" scale="85" orientation="portrait" horizontalDpi="4294967293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view="pageBreakPreview" zoomScale="80" workbookViewId="0">
      <selection activeCell="S17" sqref="S17"/>
    </sheetView>
  </sheetViews>
  <sheetFormatPr defaultRowHeight="15"/>
  <cols>
    <col min="1" max="1" width="38.7109375" style="55" customWidth="1"/>
    <col min="2" max="2" width="9.140625" style="56"/>
    <col min="3" max="3" width="12.5703125" style="55" customWidth="1"/>
    <col min="4" max="4" width="9.28515625" style="55" bestFit="1" customWidth="1"/>
    <col min="5" max="5" width="9.7109375" style="55" customWidth="1"/>
    <col min="6" max="6" width="9.42578125" style="55" bestFit="1" customWidth="1"/>
    <col min="7" max="16384" width="9.140625" style="55"/>
  </cols>
  <sheetData>
    <row r="1" spans="1:6">
      <c r="F1" s="114" t="s">
        <v>142</v>
      </c>
    </row>
    <row r="2" spans="1:6" ht="66" customHeight="1">
      <c r="A2" s="215" t="s">
        <v>147</v>
      </c>
      <c r="B2" s="215"/>
      <c r="C2" s="215"/>
      <c r="D2" s="215"/>
      <c r="E2" s="215"/>
      <c r="F2" s="215"/>
    </row>
    <row r="3" spans="1:6" ht="15.75">
      <c r="A3" s="87"/>
      <c r="B3" s="100"/>
      <c r="C3" s="87"/>
      <c r="D3" s="87"/>
      <c r="E3" s="87"/>
      <c r="F3" s="87"/>
    </row>
    <row r="4" spans="1:6" ht="38.25">
      <c r="A4" s="88" t="s">
        <v>61</v>
      </c>
      <c r="B4" s="88" t="s">
        <v>70</v>
      </c>
      <c r="C4" s="88" t="s">
        <v>103</v>
      </c>
      <c r="D4" s="88" t="s">
        <v>102</v>
      </c>
      <c r="E4" s="88" t="s">
        <v>62</v>
      </c>
      <c r="F4" s="88" t="s">
        <v>63</v>
      </c>
    </row>
    <row r="5" spans="1:6" ht="15.75">
      <c r="A5" s="102" t="s">
        <v>105</v>
      </c>
      <c r="B5" s="89" t="s">
        <v>101</v>
      </c>
      <c r="C5" s="139">
        <v>12</v>
      </c>
      <c r="D5" s="90">
        <f>12/C5</f>
        <v>1</v>
      </c>
      <c r="E5" s="91">
        <v>1000</v>
      </c>
      <c r="F5" s="92">
        <f t="shared" ref="F5:F16" si="0">ROUND((D5*E5),2)</f>
        <v>1000</v>
      </c>
    </row>
    <row r="6" spans="1:6" ht="15.75">
      <c r="A6" s="102" t="s">
        <v>90</v>
      </c>
      <c r="B6" s="89" t="s">
        <v>101</v>
      </c>
      <c r="C6" s="139">
        <v>36</v>
      </c>
      <c r="D6" s="94">
        <f t="shared" ref="D6:D15" si="1">12/C6</f>
        <v>0.33333333333333331</v>
      </c>
      <c r="E6" s="91">
        <v>460</v>
      </c>
      <c r="F6" s="92">
        <f t="shared" si="0"/>
        <v>153.33000000000001</v>
      </c>
    </row>
    <row r="7" spans="1:6" ht="15.75">
      <c r="A7" s="102" t="s">
        <v>91</v>
      </c>
      <c r="B7" s="89" t="s">
        <v>101</v>
      </c>
      <c r="C7" s="139">
        <v>24</v>
      </c>
      <c r="D7" s="90">
        <f t="shared" si="1"/>
        <v>0.5</v>
      </c>
      <c r="E7" s="91">
        <v>321.39999999999998</v>
      </c>
      <c r="F7" s="92">
        <f t="shared" si="0"/>
        <v>160.69999999999999</v>
      </c>
    </row>
    <row r="8" spans="1:6" ht="15.75">
      <c r="A8" s="102" t="s">
        <v>92</v>
      </c>
      <c r="B8" s="89" t="s">
        <v>101</v>
      </c>
      <c r="C8" s="139">
        <v>24</v>
      </c>
      <c r="D8" s="90">
        <f t="shared" si="1"/>
        <v>0.5</v>
      </c>
      <c r="E8" s="91">
        <v>332</v>
      </c>
      <c r="F8" s="92">
        <f t="shared" si="0"/>
        <v>166</v>
      </c>
    </row>
    <row r="9" spans="1:6" ht="15.75">
      <c r="A9" s="102" t="s">
        <v>93</v>
      </c>
      <c r="B9" s="89" t="s">
        <v>101</v>
      </c>
      <c r="C9" s="139">
        <v>12</v>
      </c>
      <c r="D9" s="90">
        <f t="shared" si="1"/>
        <v>1</v>
      </c>
      <c r="E9" s="91">
        <v>156</v>
      </c>
      <c r="F9" s="92">
        <f t="shared" si="0"/>
        <v>156</v>
      </c>
    </row>
    <row r="10" spans="1:6" ht="15.75">
      <c r="A10" s="102" t="s">
        <v>94</v>
      </c>
      <c r="B10" s="89" t="s">
        <v>101</v>
      </c>
      <c r="C10" s="139" t="s">
        <v>104</v>
      </c>
      <c r="D10" s="94">
        <f>12/36</f>
        <v>0.33333333333333331</v>
      </c>
      <c r="E10" s="91">
        <v>530</v>
      </c>
      <c r="F10" s="92">
        <f t="shared" si="0"/>
        <v>176.67</v>
      </c>
    </row>
    <row r="11" spans="1:6" ht="15.75">
      <c r="A11" s="102" t="s">
        <v>95</v>
      </c>
      <c r="B11" s="89" t="s">
        <v>101</v>
      </c>
      <c r="C11" s="139" t="s">
        <v>104</v>
      </c>
      <c r="D11" s="94">
        <f>12/36</f>
        <v>0.33333333333333331</v>
      </c>
      <c r="E11" s="91">
        <v>285</v>
      </c>
      <c r="F11" s="92">
        <f t="shared" si="0"/>
        <v>95</v>
      </c>
    </row>
    <row r="12" spans="1:6" ht="15.75">
      <c r="A12" s="102" t="s">
        <v>96</v>
      </c>
      <c r="B12" s="89" t="s">
        <v>101</v>
      </c>
      <c r="C12" s="139">
        <v>60</v>
      </c>
      <c r="D12" s="90">
        <f t="shared" si="1"/>
        <v>0.2</v>
      </c>
      <c r="E12" s="91">
        <v>320</v>
      </c>
      <c r="F12" s="92">
        <f t="shared" si="0"/>
        <v>64</v>
      </c>
    </row>
    <row r="13" spans="1:6" ht="17.25" customHeight="1">
      <c r="A13" s="103" t="s">
        <v>97</v>
      </c>
      <c r="B13" s="89" t="s">
        <v>101</v>
      </c>
      <c r="C13" s="139" t="s">
        <v>104</v>
      </c>
      <c r="D13" s="90">
        <f>12/24</f>
        <v>0.5</v>
      </c>
      <c r="E13" s="91">
        <v>220</v>
      </c>
      <c r="F13" s="92">
        <f t="shared" si="0"/>
        <v>110</v>
      </c>
    </row>
    <row r="14" spans="1:6" ht="15.75">
      <c r="A14" s="102" t="s">
        <v>98</v>
      </c>
      <c r="B14" s="89" t="s">
        <v>101</v>
      </c>
      <c r="C14" s="139" t="s">
        <v>104</v>
      </c>
      <c r="D14" s="90">
        <f>12/12</f>
        <v>1</v>
      </c>
      <c r="E14" s="91">
        <v>62.5</v>
      </c>
      <c r="F14" s="92">
        <f t="shared" si="0"/>
        <v>62.5</v>
      </c>
    </row>
    <row r="15" spans="1:6" ht="15.75">
      <c r="A15" s="103" t="s">
        <v>99</v>
      </c>
      <c r="B15" s="89" t="s">
        <v>101</v>
      </c>
      <c r="C15" s="139">
        <v>2</v>
      </c>
      <c r="D15" s="90">
        <f t="shared" si="1"/>
        <v>6</v>
      </c>
      <c r="E15" s="91">
        <v>82.5</v>
      </c>
      <c r="F15" s="92">
        <f t="shared" si="0"/>
        <v>495</v>
      </c>
    </row>
    <row r="16" spans="1:6" ht="15.75">
      <c r="A16" s="103" t="s">
        <v>100</v>
      </c>
      <c r="B16" s="89" t="s">
        <v>101</v>
      </c>
      <c r="C16" s="139">
        <v>1</v>
      </c>
      <c r="D16" s="90">
        <f>12/C16</f>
        <v>12</v>
      </c>
      <c r="E16" s="91">
        <v>55.9</v>
      </c>
      <c r="F16" s="92">
        <f t="shared" si="0"/>
        <v>670.8</v>
      </c>
    </row>
    <row r="17" spans="1:9" ht="25.5" customHeight="1">
      <c r="A17" s="131" t="s">
        <v>106</v>
      </c>
      <c r="B17" s="93" t="s">
        <v>112</v>
      </c>
      <c r="C17" s="140"/>
      <c r="D17" s="95"/>
      <c r="E17" s="95"/>
      <c r="F17" s="96">
        <f>SUM(F5:F16)</f>
        <v>3310</v>
      </c>
    </row>
    <row r="18" spans="1:9" ht="25.5" customHeight="1">
      <c r="A18" s="98" t="s">
        <v>107</v>
      </c>
      <c r="B18" s="101" t="s">
        <v>108</v>
      </c>
      <c r="C18" s="141"/>
      <c r="D18" s="97"/>
      <c r="E18" s="97"/>
      <c r="F18" s="97">
        <v>2002</v>
      </c>
    </row>
    <row r="19" spans="1:9" ht="45">
      <c r="A19" s="98" t="s">
        <v>111</v>
      </c>
      <c r="B19" s="101" t="s">
        <v>108</v>
      </c>
      <c r="C19" s="97"/>
      <c r="D19" s="97"/>
      <c r="E19" s="97"/>
      <c r="F19" s="99">
        <f>'1_ВОП'!G6+'1_ВОП'!G7</f>
        <v>0.30000000000000004</v>
      </c>
    </row>
    <row r="20" spans="1:9" ht="32.25" customHeight="1">
      <c r="A20" s="98" t="s">
        <v>143</v>
      </c>
      <c r="B20" s="101" t="s">
        <v>112</v>
      </c>
      <c r="C20" s="97"/>
      <c r="D20" s="97"/>
      <c r="E20" s="97"/>
      <c r="F20" s="99">
        <f>ROUND(F17/F18*F19,2)</f>
        <v>0.5</v>
      </c>
    </row>
    <row r="23" spans="1:9" ht="16.5" customHeight="1">
      <c r="A23" s="16" t="s">
        <v>8</v>
      </c>
      <c r="B23" s="15"/>
      <c r="C23" s="15"/>
      <c r="D23" s="15"/>
      <c r="E23" s="16" t="s">
        <v>11</v>
      </c>
      <c r="F23" s="15"/>
      <c r="G23" s="81"/>
      <c r="H23" s="81"/>
      <c r="I23" s="81"/>
    </row>
    <row r="24" spans="1:9" ht="15.75" customHeight="1">
      <c r="A24" s="17"/>
      <c r="B24" s="15"/>
      <c r="C24" s="15"/>
      <c r="D24" s="15"/>
      <c r="E24" s="16"/>
      <c r="F24" s="15"/>
      <c r="G24" s="81"/>
    </row>
    <row r="25" spans="1:9" ht="15.75">
      <c r="A25" s="16" t="s">
        <v>9</v>
      </c>
      <c r="B25" s="15"/>
      <c r="C25" s="15"/>
      <c r="D25" s="15"/>
      <c r="E25" s="16" t="s">
        <v>30</v>
      </c>
      <c r="F25" s="15"/>
      <c r="G25" s="81"/>
    </row>
    <row r="26" spans="1:9" ht="16.5" customHeight="1">
      <c r="G26" s="81"/>
    </row>
    <row r="27" spans="1:9" ht="15.75" customHeight="1">
      <c r="A27" s="56"/>
      <c r="B27" s="81"/>
      <c r="C27" s="81"/>
      <c r="D27" s="81"/>
      <c r="E27" s="81"/>
      <c r="F27" s="81"/>
      <c r="G27" s="81"/>
    </row>
    <row r="28" spans="1:9">
      <c r="A28" s="56"/>
      <c r="B28" s="81"/>
      <c r="C28" s="81"/>
      <c r="D28" s="81"/>
      <c r="E28" s="81"/>
      <c r="F28" s="81"/>
      <c r="G28" s="81"/>
    </row>
    <row r="29" spans="1:9" s="1" customFormat="1">
      <c r="A29" s="9"/>
    </row>
    <row r="30" spans="1:9" s="1" customFormat="1">
      <c r="A30" s="9"/>
    </row>
    <row r="31" spans="1:9" s="1" customFormat="1">
      <c r="A31" s="9"/>
    </row>
    <row r="32" spans="1:9" s="1" customFormat="1">
      <c r="A32" s="9"/>
    </row>
    <row r="33" spans="1:1" s="1" customFormat="1">
      <c r="A33" s="9"/>
    </row>
    <row r="34" spans="1:1" s="1" customFormat="1">
      <c r="A34" s="9"/>
    </row>
    <row r="35" spans="1:1" s="1" customFormat="1">
      <c r="A35" s="9"/>
    </row>
    <row r="36" spans="1:1" s="1" customFormat="1">
      <c r="A36" s="9"/>
    </row>
    <row r="37" spans="1:1" s="1" customFormat="1">
      <c r="A37" s="9"/>
    </row>
    <row r="38" spans="1:1" s="1" customFormat="1">
      <c r="A38" s="9"/>
    </row>
    <row r="39" spans="1:1" s="1" customFormat="1">
      <c r="A39" s="9"/>
    </row>
    <row r="40" spans="1:1" s="1" customFormat="1">
      <c r="A40" s="9"/>
    </row>
    <row r="41" spans="1:1" s="1" customFormat="1">
      <c r="A41" s="1" t="s">
        <v>31</v>
      </c>
    </row>
    <row r="42" spans="1:1" s="1" customFormat="1">
      <c r="A42" s="1" t="s">
        <v>32</v>
      </c>
    </row>
    <row r="43" spans="1:1" s="1" customFormat="1"/>
    <row r="44" spans="1:1" s="1" customFormat="1"/>
    <row r="45" spans="1:1" s="1" customFormat="1"/>
  </sheetData>
  <mergeCells count="1">
    <mergeCell ref="A2:F2"/>
  </mergeCells>
  <phoneticPr fontId="28" type="noConversion"/>
  <pageMargins left="0.75" right="0.45" top="0.83" bottom="1" header="0.5" footer="0.5"/>
  <pageSetup paperSize="9" scale="92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U35"/>
  <sheetViews>
    <sheetView view="pageBreakPreview" topLeftCell="A19" zoomScale="80" zoomScaleSheetLayoutView="80" workbookViewId="0">
      <selection activeCell="D5" sqref="D5"/>
    </sheetView>
  </sheetViews>
  <sheetFormatPr defaultRowHeight="15"/>
  <cols>
    <col min="1" max="1" width="8.5703125" style="9" customWidth="1"/>
    <col min="2" max="2" width="59.5703125" style="1" customWidth="1"/>
    <col min="3" max="3" width="12.85546875" style="1" customWidth="1"/>
    <col min="4" max="4" width="16.28515625" style="9" customWidth="1"/>
    <col min="5" max="5" width="8.140625" style="9" customWidth="1"/>
    <col min="6" max="6" width="8.140625" style="1" customWidth="1"/>
    <col min="7" max="16384" width="9.140625" style="1"/>
  </cols>
  <sheetData>
    <row r="1" spans="1:7" ht="75.75" customHeight="1">
      <c r="A1" s="11"/>
      <c r="B1" s="10"/>
      <c r="C1" s="165" t="s">
        <v>174</v>
      </c>
      <c r="D1" s="170"/>
      <c r="E1" s="170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6" spans="1:7" ht="15.75">
      <c r="B6" s="64"/>
      <c r="C6" s="51"/>
      <c r="D6" s="51"/>
      <c r="E6" s="51"/>
      <c r="F6" s="51"/>
    </row>
    <row r="7" spans="1:7" ht="33.75" customHeight="1">
      <c r="A7" s="164" t="s">
        <v>173</v>
      </c>
      <c r="B7" s="164"/>
      <c r="C7" s="164"/>
      <c r="D7" s="164"/>
      <c r="E7" s="164"/>
      <c r="F7" s="51"/>
    </row>
    <row r="8" spans="1:7" ht="15.75">
      <c r="A8" s="51"/>
      <c r="B8" s="64"/>
      <c r="C8" s="51"/>
      <c r="D8" s="51"/>
      <c r="E8" s="51"/>
      <c r="F8" s="51"/>
    </row>
    <row r="10" spans="1:7" s="3" customFormat="1" ht="47.25" customHeight="1">
      <c r="A10" s="2" t="s">
        <v>0</v>
      </c>
      <c r="B10" s="2" t="s">
        <v>2</v>
      </c>
      <c r="C10" s="2" t="s">
        <v>1</v>
      </c>
      <c r="D10" s="2" t="s">
        <v>124</v>
      </c>
      <c r="E10" s="109"/>
    </row>
    <row r="11" spans="1:7" s="43" customFormat="1" ht="24.75" customHeight="1">
      <c r="A11" s="61" t="s">
        <v>126</v>
      </c>
      <c r="B11" s="59" t="s">
        <v>121</v>
      </c>
      <c r="C11" s="62" t="s">
        <v>4</v>
      </c>
      <c r="D11" s="42">
        <f>D12+D13+D14+D18</f>
        <v>152.91999999999999</v>
      </c>
      <c r="E11" s="110"/>
    </row>
    <row r="12" spans="1:7" ht="24.75" customHeight="1">
      <c r="A12" s="14" t="s">
        <v>46</v>
      </c>
      <c r="B12" s="5" t="s">
        <v>74</v>
      </c>
      <c r="C12" s="63" t="s">
        <v>4</v>
      </c>
      <c r="D12" s="13">
        <v>0</v>
      </c>
      <c r="E12" s="111"/>
    </row>
    <row r="13" spans="1:7" ht="24.75" customHeight="1">
      <c r="A13" s="14" t="s">
        <v>47</v>
      </c>
      <c r="B13" s="5" t="s">
        <v>7</v>
      </c>
      <c r="C13" s="63" t="s">
        <v>4</v>
      </c>
      <c r="D13" s="13">
        <f>'1_ВОП'!I8</f>
        <v>20.72</v>
      </c>
      <c r="E13" s="111"/>
    </row>
    <row r="14" spans="1:7" ht="24.75" customHeight="1">
      <c r="A14" s="14" t="s">
        <v>49</v>
      </c>
      <c r="B14" s="5" t="s">
        <v>48</v>
      </c>
      <c r="C14" s="63" t="s">
        <v>4</v>
      </c>
      <c r="D14" s="13">
        <f>SUM(D15:D17)</f>
        <v>128.41</v>
      </c>
      <c r="E14" s="111"/>
    </row>
    <row r="15" spans="1:7" ht="30">
      <c r="A15" s="14" t="s">
        <v>50</v>
      </c>
      <c r="B15" s="5" t="s">
        <v>34</v>
      </c>
      <c r="C15" s="63" t="s">
        <v>4</v>
      </c>
      <c r="D15" s="13">
        <f>ROUND(D13*0.22,2)</f>
        <v>4.5599999999999996</v>
      </c>
      <c r="E15" s="111"/>
    </row>
    <row r="16" spans="1:7" ht="24.75" customHeight="1">
      <c r="A16" s="14" t="s">
        <v>51</v>
      </c>
      <c r="B16" s="5" t="s">
        <v>85</v>
      </c>
      <c r="C16" s="63" t="s">
        <v>4</v>
      </c>
      <c r="D16" s="13">
        <f>повіркаВ!D15</f>
        <v>123.35</v>
      </c>
      <c r="E16" s="111"/>
    </row>
    <row r="17" spans="1:8" ht="24.75" customHeight="1">
      <c r="A17" s="14" t="s">
        <v>117</v>
      </c>
      <c r="B17" s="5" t="s">
        <v>118</v>
      </c>
      <c r="C17" s="63" t="s">
        <v>4</v>
      </c>
      <c r="D17" s="13">
        <f>спецодяг!F20</f>
        <v>0.5</v>
      </c>
      <c r="E17" s="111"/>
    </row>
    <row r="18" spans="1:8" ht="24.75" customHeight="1">
      <c r="A18" s="14" t="s">
        <v>52</v>
      </c>
      <c r="B18" s="5" t="s">
        <v>122</v>
      </c>
      <c r="C18" s="63" t="s">
        <v>4</v>
      </c>
      <c r="D18" s="13">
        <f>ROUND(D13*18.3%,2)</f>
        <v>3.79</v>
      </c>
      <c r="E18" s="111"/>
      <c r="F18" s="55"/>
    </row>
    <row r="19" spans="1:8" s="43" customFormat="1" ht="28.5">
      <c r="A19" s="8" t="s">
        <v>3</v>
      </c>
      <c r="B19" s="59" t="s">
        <v>123</v>
      </c>
      <c r="C19" s="62" t="s">
        <v>4</v>
      </c>
      <c r="D19" s="42">
        <v>0</v>
      </c>
      <c r="E19" s="110"/>
      <c r="F19" s="60"/>
    </row>
    <row r="20" spans="1:8" s="43" customFormat="1" ht="24.75" customHeight="1">
      <c r="A20" s="8" t="s">
        <v>53</v>
      </c>
      <c r="B20" s="54" t="s">
        <v>125</v>
      </c>
      <c r="C20" s="62" t="s">
        <v>4</v>
      </c>
      <c r="D20" s="44">
        <v>0</v>
      </c>
      <c r="E20" s="112"/>
    </row>
    <row r="21" spans="1:8" s="43" customFormat="1" ht="24.75" customHeight="1">
      <c r="A21" s="8" t="s">
        <v>127</v>
      </c>
      <c r="B21" s="54" t="s">
        <v>54</v>
      </c>
      <c r="C21" s="62" t="s">
        <v>4</v>
      </c>
      <c r="D21" s="44">
        <f>D11+D19+D20</f>
        <v>152.91999999999999</v>
      </c>
      <c r="E21" s="112"/>
    </row>
    <row r="22" spans="1:8" s="43" customFormat="1" ht="24.75" customHeight="1">
      <c r="A22" s="61" t="s">
        <v>128</v>
      </c>
      <c r="B22" s="59" t="s">
        <v>150</v>
      </c>
      <c r="C22" s="62" t="s">
        <v>4</v>
      </c>
      <c r="D22" s="42">
        <f>ROUND(D21*0.03,2)</f>
        <v>4.59</v>
      </c>
      <c r="E22" s="110"/>
    </row>
    <row r="23" spans="1:8" s="43" customFormat="1" ht="28.5">
      <c r="A23" s="61" t="s">
        <v>129</v>
      </c>
      <c r="B23" s="59" t="s">
        <v>45</v>
      </c>
      <c r="C23" s="62" t="s">
        <v>4</v>
      </c>
      <c r="D23" s="42">
        <f>D21+D22</f>
        <v>157.51</v>
      </c>
      <c r="E23" s="110"/>
      <c r="F23" s="1"/>
    </row>
    <row r="24" spans="1:8" ht="24.75" customHeight="1">
      <c r="A24" s="61" t="s">
        <v>130</v>
      </c>
      <c r="B24" s="59" t="s">
        <v>43</v>
      </c>
      <c r="C24" s="62" t="s">
        <v>4</v>
      </c>
      <c r="D24" s="42">
        <f>ROUND(D23/12,2)</f>
        <v>13.13</v>
      </c>
      <c r="E24" s="110"/>
    </row>
    <row r="25" spans="1:8" ht="24.75" customHeight="1">
      <c r="A25" s="61" t="s">
        <v>131</v>
      </c>
      <c r="B25" s="59" t="s">
        <v>44</v>
      </c>
      <c r="C25" s="62"/>
      <c r="D25" s="83">
        <v>1</v>
      </c>
      <c r="E25" s="113"/>
    </row>
    <row r="26" spans="1:8" ht="24.75" customHeight="1">
      <c r="A26" s="61" t="s">
        <v>132</v>
      </c>
      <c r="B26" s="59" t="s">
        <v>148</v>
      </c>
      <c r="C26" s="62" t="s">
        <v>4</v>
      </c>
      <c r="D26" s="42">
        <f>ROUND(D24*3,2)</f>
        <v>39.39</v>
      </c>
      <c r="E26" s="110"/>
    </row>
    <row r="27" spans="1:8">
      <c r="A27" s="135"/>
      <c r="B27" s="136"/>
      <c r="C27" s="137"/>
      <c r="D27" s="110"/>
    </row>
    <row r="28" spans="1:8">
      <c r="A28" s="135"/>
      <c r="B28" s="136"/>
      <c r="C28" s="137"/>
      <c r="D28" s="110"/>
    </row>
    <row r="29" spans="1:8" s="15" customFormat="1" ht="15.75">
      <c r="A29" s="57"/>
      <c r="B29" s="16"/>
      <c r="D29" s="16"/>
      <c r="E29" s="16"/>
      <c r="H29" s="52"/>
    </row>
    <row r="30" spans="1:8" s="15" customFormat="1" ht="15.75">
      <c r="A30" s="57"/>
      <c r="B30" s="17"/>
      <c r="D30" s="16"/>
      <c r="E30" s="16"/>
      <c r="H30" s="52"/>
    </row>
    <row r="31" spans="1:8" s="15" customFormat="1" ht="21">
      <c r="A31" s="167" t="s">
        <v>172</v>
      </c>
      <c r="B31" s="168"/>
      <c r="D31" s="163" t="s">
        <v>169</v>
      </c>
      <c r="E31" s="16"/>
    </row>
    <row r="32" spans="1:8" s="15" customFormat="1" ht="15.75">
      <c r="A32" s="57"/>
      <c r="B32" s="17"/>
      <c r="D32" s="16"/>
      <c r="E32" s="16"/>
    </row>
    <row r="33" spans="1:21" s="15" customFormat="1" ht="15.75">
      <c r="A33" s="57"/>
      <c r="B33" s="16"/>
      <c r="D33" s="16"/>
      <c r="E33" s="16"/>
    </row>
    <row r="34" spans="1:21" s="10" customFormat="1" ht="15.75">
      <c r="A34" s="58"/>
      <c r="U34" s="12"/>
    </row>
    <row r="35" spans="1:21" s="10" customFormat="1" ht="15.75">
      <c r="A35" s="58"/>
      <c r="U35" s="12"/>
    </row>
  </sheetData>
  <mergeCells count="3">
    <mergeCell ref="A7:E7"/>
    <mergeCell ref="C1:E1"/>
    <mergeCell ref="A31:B31"/>
  </mergeCells>
  <phoneticPr fontId="28" type="noConversion"/>
  <pageMargins left="0.68" right="0.19685039370078741" top="0.3" bottom="0.24" header="0.31496062992125984" footer="0.31496062992125984"/>
  <pageSetup paperSize="9" scale="89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4"/>
  <sheetViews>
    <sheetView view="pageBreakPreview" zoomScale="90" zoomScaleSheetLayoutView="90" workbookViewId="0">
      <selection activeCell="F6" sqref="F6"/>
    </sheetView>
  </sheetViews>
  <sheetFormatPr defaultRowHeight="15"/>
  <cols>
    <col min="1" max="1" width="3.85546875" style="9" customWidth="1"/>
    <col min="2" max="2" width="35.7109375" style="1" customWidth="1"/>
    <col min="3" max="3" width="6.42578125" style="1" customWidth="1"/>
    <col min="4" max="4" width="10.5703125" style="1" customWidth="1"/>
    <col min="5" max="5" width="5.85546875" style="1" customWidth="1"/>
    <col min="6" max="6" width="8.5703125" style="1" customWidth="1"/>
    <col min="7" max="7" width="10.7109375" style="1" customWidth="1"/>
    <col min="8" max="8" width="7.28515625" style="1" customWidth="1"/>
    <col min="9" max="9" width="7.5703125" style="1" customWidth="1"/>
    <col min="10" max="10" width="9.140625" style="1"/>
    <col min="11" max="11" width="6" style="1" bestFit="1" customWidth="1"/>
    <col min="12" max="12" width="9.140625" style="1"/>
    <col min="13" max="13" width="40.7109375" style="1" customWidth="1"/>
    <col min="14" max="16384" width="9.140625" style="1"/>
  </cols>
  <sheetData>
    <row r="1" spans="1:13" ht="15.75" customHeight="1">
      <c r="I1" s="114" t="s">
        <v>35</v>
      </c>
    </row>
    <row r="2" spans="1:13" ht="15.75" customHeight="1"/>
    <row r="3" spans="1:13" ht="48.75" customHeight="1">
      <c r="B3" s="171" t="s">
        <v>76</v>
      </c>
      <c r="C3" s="171"/>
      <c r="D3" s="171"/>
      <c r="E3" s="171"/>
      <c r="F3" s="171"/>
      <c r="G3" s="171"/>
      <c r="H3" s="171"/>
      <c r="I3" s="171"/>
      <c r="J3" s="40"/>
    </row>
    <row r="4" spans="1:13" ht="15.75" customHeight="1">
      <c r="K4" s="43"/>
    </row>
    <row r="5" spans="1:13" s="6" customFormat="1" ht="48" customHeight="1">
      <c r="A5" s="7" t="s">
        <v>6</v>
      </c>
      <c r="B5" s="7" t="s">
        <v>55</v>
      </c>
      <c r="C5" s="7" t="s">
        <v>77</v>
      </c>
      <c r="D5" s="7" t="s">
        <v>41</v>
      </c>
      <c r="E5" s="7" t="s">
        <v>60</v>
      </c>
      <c r="F5" s="7" t="s">
        <v>59</v>
      </c>
      <c r="G5" s="7" t="s">
        <v>109</v>
      </c>
      <c r="H5" s="7" t="s">
        <v>10</v>
      </c>
      <c r="I5" s="7" t="s">
        <v>5</v>
      </c>
      <c r="K5" s="1"/>
    </row>
    <row r="6" spans="1:13" ht="90">
      <c r="A6" s="4">
        <v>1</v>
      </c>
      <c r="B6" s="53" t="s">
        <v>139</v>
      </c>
      <c r="C6" s="65" t="s">
        <v>56</v>
      </c>
      <c r="D6" s="66" t="s">
        <v>57</v>
      </c>
      <c r="E6" s="69">
        <v>1</v>
      </c>
      <c r="F6" s="70">
        <v>0.05</v>
      </c>
      <c r="G6" s="70">
        <f>F6*2</f>
        <v>0.1</v>
      </c>
      <c r="H6" s="71">
        <f>'людгод (сто)'!O12</f>
        <v>69.06</v>
      </c>
      <c r="I6" s="13">
        <f>ROUND(E6*G6*H6,2)</f>
        <v>6.91</v>
      </c>
      <c r="M6" s="134"/>
    </row>
    <row r="7" spans="1:13" ht="47.25" customHeight="1">
      <c r="A7" s="4">
        <v>2</v>
      </c>
      <c r="B7" s="53" t="s">
        <v>39</v>
      </c>
      <c r="C7" s="65" t="s">
        <v>56</v>
      </c>
      <c r="D7" s="66" t="s">
        <v>57</v>
      </c>
      <c r="E7" s="69">
        <v>1</v>
      </c>
      <c r="F7" s="70">
        <v>0.1</v>
      </c>
      <c r="G7" s="70">
        <f>F7*2</f>
        <v>0.2</v>
      </c>
      <c r="H7" s="71">
        <f>H6</f>
        <v>69.06</v>
      </c>
      <c r="I7" s="13">
        <f>ROUND(E7*G7*H7,2)</f>
        <v>13.81</v>
      </c>
      <c r="M7" s="134"/>
    </row>
    <row r="8" spans="1:13" s="43" customFormat="1" ht="15.75">
      <c r="A8" s="8"/>
      <c r="B8" s="8"/>
      <c r="C8" s="8"/>
      <c r="D8" s="8"/>
      <c r="E8" s="8"/>
      <c r="F8" s="44"/>
      <c r="G8" s="44"/>
      <c r="H8" s="54"/>
      <c r="I8" s="44">
        <f>SUM(I6:I7)</f>
        <v>20.72</v>
      </c>
      <c r="K8" s="41"/>
    </row>
    <row r="9" spans="1:13" ht="45.75" customHeight="1">
      <c r="A9" s="172" t="s">
        <v>133</v>
      </c>
      <c r="B9" s="172"/>
      <c r="C9" s="172"/>
      <c r="D9" s="172"/>
      <c r="E9" s="172"/>
      <c r="F9" s="172"/>
      <c r="G9" s="172"/>
      <c r="H9" s="172"/>
      <c r="I9" s="172"/>
      <c r="K9" s="41"/>
    </row>
    <row r="10" spans="1:13">
      <c r="A10" s="47"/>
      <c r="B10" s="48"/>
      <c r="C10" s="48"/>
      <c r="D10" s="48"/>
      <c r="E10" s="48"/>
      <c r="F10" s="48"/>
      <c r="G10" s="48"/>
      <c r="H10" s="48"/>
      <c r="I10" s="48"/>
    </row>
    <row r="12" spans="1:13" s="55" customFormat="1" ht="16.5" customHeight="1">
      <c r="B12" s="16" t="s">
        <v>8</v>
      </c>
      <c r="C12" s="15"/>
      <c r="D12" s="15"/>
      <c r="E12" s="15"/>
      <c r="G12" s="16" t="s">
        <v>11</v>
      </c>
      <c r="H12" s="81"/>
      <c r="I12" s="81"/>
      <c r="J12" s="81"/>
    </row>
    <row r="13" spans="1:13" s="55" customFormat="1" ht="15.75" customHeight="1">
      <c r="B13" s="17"/>
      <c r="C13" s="15"/>
      <c r="D13" s="15"/>
      <c r="E13" s="15"/>
      <c r="G13" s="16"/>
      <c r="H13" s="81"/>
    </row>
    <row r="14" spans="1:13" s="55" customFormat="1" ht="15.75">
      <c r="B14" s="16" t="s">
        <v>9</v>
      </c>
      <c r="C14" s="15"/>
      <c r="D14" s="15"/>
      <c r="E14" s="15"/>
      <c r="G14" s="16" t="s">
        <v>30</v>
      </c>
      <c r="H14" s="81"/>
    </row>
    <row r="15" spans="1:13" s="37" customFormat="1" ht="16.5" customHeight="1">
      <c r="A15" s="17"/>
      <c r="B15" s="41"/>
      <c r="C15" s="41"/>
      <c r="D15" s="41"/>
      <c r="E15" s="41"/>
      <c r="F15" s="41"/>
      <c r="G15" s="41"/>
      <c r="H15" s="41"/>
      <c r="I15" s="41"/>
      <c r="J15" s="41"/>
      <c r="K15" s="1"/>
    </row>
    <row r="16" spans="1:13" s="37" customFormat="1" ht="15.75" customHeight="1">
      <c r="A16" s="17"/>
      <c r="B16" s="41"/>
      <c r="C16" s="41"/>
      <c r="D16" s="41"/>
      <c r="E16" s="41"/>
      <c r="F16" s="41"/>
      <c r="G16" s="41"/>
      <c r="H16" s="41"/>
      <c r="I16" s="41"/>
      <c r="J16" s="41"/>
      <c r="K16" s="1"/>
    </row>
    <row r="17" spans="1:11" s="37" customFormat="1" ht="15.75">
      <c r="A17" s="17"/>
      <c r="B17" s="41"/>
      <c r="C17" s="41"/>
      <c r="D17" s="41"/>
      <c r="E17" s="41"/>
      <c r="F17" s="41"/>
      <c r="G17" s="41"/>
      <c r="H17" s="41"/>
      <c r="I17" s="41"/>
      <c r="J17" s="41"/>
      <c r="K17" s="1"/>
    </row>
    <row r="30" spans="1:11">
      <c r="A30" s="1" t="s">
        <v>31</v>
      </c>
    </row>
    <row r="31" spans="1:11">
      <c r="A31" s="1" t="s">
        <v>32</v>
      </c>
    </row>
    <row r="37" spans="1:1" ht="15.75" customHeight="1">
      <c r="A37" s="1"/>
    </row>
    <row r="38" spans="1:1" ht="15.75" customHeight="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 ht="62.25" customHeight="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</sheetData>
  <mergeCells count="2">
    <mergeCell ref="B3:I3"/>
    <mergeCell ref="A9:I9"/>
  </mergeCells>
  <phoneticPr fontId="28" type="noConversion"/>
  <pageMargins left="0.53" right="0.23622047244094491" top="0.86614173228346458" bottom="0.31496062992125984" header="0.31496062992125984" footer="0.31496062992125984"/>
  <pageSetup paperSize="9" scale="97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="80" zoomScaleNormal="80" zoomScaleSheetLayoutView="90" workbookViewId="0">
      <selection activeCell="F12" sqref="F12"/>
    </sheetView>
  </sheetViews>
  <sheetFormatPr defaultColWidth="9.7109375" defaultRowHeight="15"/>
  <cols>
    <col min="1" max="1" width="32.5703125" style="20" customWidth="1"/>
    <col min="2" max="2" width="10.28515625" style="18" customWidth="1"/>
    <col min="3" max="8" width="9.7109375" style="18" customWidth="1"/>
    <col min="9" max="9" width="8.85546875" style="18" customWidth="1"/>
    <col min="10" max="15" width="9.7109375" style="19" customWidth="1"/>
    <col min="16" max="238" width="9.140625" style="18" customWidth="1"/>
    <col min="239" max="239" width="45.42578125" style="18" customWidth="1"/>
    <col min="240" max="240" width="8.5703125" style="18" customWidth="1"/>
    <col min="241" max="16384" width="9.7109375" style="18"/>
  </cols>
  <sheetData>
    <row r="1" spans="1:15" s="34" customFormat="1" ht="52.5" customHeight="1">
      <c r="A1" s="2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 t="s">
        <v>134</v>
      </c>
      <c r="N1" s="35"/>
      <c r="O1" s="35"/>
    </row>
    <row r="2" spans="1:15" s="21" customFormat="1" ht="23.25" customHeight="1">
      <c r="A2" s="173" t="s">
        <v>135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5" s="21" customFormat="1" ht="15.7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1"/>
      <c r="N3" s="31"/>
      <c r="O3" s="31"/>
    </row>
    <row r="4" spans="1:15" s="78" customFormat="1" ht="25.5" customHeight="1">
      <c r="A4" s="174" t="s">
        <v>28</v>
      </c>
      <c r="B4" s="177" t="s">
        <v>27</v>
      </c>
      <c r="C4" s="180" t="s">
        <v>26</v>
      </c>
      <c r="D4" s="181"/>
      <c r="E4" s="181"/>
      <c r="F4" s="182"/>
      <c r="G4" s="183" t="s">
        <v>25</v>
      </c>
      <c r="H4" s="184"/>
      <c r="I4" s="184"/>
      <c r="J4" s="185"/>
      <c r="K4" s="180" t="s">
        <v>24</v>
      </c>
      <c r="L4" s="182"/>
      <c r="M4" s="186" t="s">
        <v>23</v>
      </c>
      <c r="N4" s="195" t="s">
        <v>13</v>
      </c>
      <c r="O4" s="193" t="s">
        <v>17</v>
      </c>
    </row>
    <row r="5" spans="1:15" s="78" customFormat="1" ht="16.5" customHeight="1">
      <c r="A5" s="175"/>
      <c r="B5" s="178"/>
      <c r="C5" s="177" t="s">
        <v>144</v>
      </c>
      <c r="D5" s="177" t="s">
        <v>145</v>
      </c>
      <c r="E5" s="177" t="s">
        <v>146</v>
      </c>
      <c r="F5" s="186" t="s">
        <v>22</v>
      </c>
      <c r="G5" s="189" t="s">
        <v>12</v>
      </c>
      <c r="H5" s="190"/>
      <c r="I5" s="186" t="s">
        <v>20</v>
      </c>
      <c r="J5" s="186" t="s">
        <v>19</v>
      </c>
      <c r="K5" s="186" t="s">
        <v>18</v>
      </c>
      <c r="L5" s="198" t="s">
        <v>29</v>
      </c>
      <c r="M5" s="187"/>
      <c r="N5" s="196"/>
      <c r="O5" s="193"/>
    </row>
    <row r="6" spans="1:15" s="78" customFormat="1" ht="21.75" customHeight="1">
      <c r="A6" s="175"/>
      <c r="B6" s="178"/>
      <c r="C6" s="178"/>
      <c r="D6" s="178"/>
      <c r="E6" s="178"/>
      <c r="F6" s="187"/>
      <c r="G6" s="191"/>
      <c r="H6" s="192"/>
      <c r="I6" s="187"/>
      <c r="J6" s="187"/>
      <c r="K6" s="187"/>
      <c r="L6" s="199"/>
      <c r="M6" s="187"/>
      <c r="N6" s="196"/>
      <c r="O6" s="193"/>
    </row>
    <row r="7" spans="1:15" s="78" customFormat="1" ht="50.25" customHeight="1">
      <c r="A7" s="176"/>
      <c r="B7" s="179"/>
      <c r="C7" s="179"/>
      <c r="D7" s="179"/>
      <c r="E7" s="179"/>
      <c r="F7" s="188"/>
      <c r="G7" s="30" t="s">
        <v>16</v>
      </c>
      <c r="H7" s="30" t="s">
        <v>15</v>
      </c>
      <c r="I7" s="188"/>
      <c r="J7" s="188"/>
      <c r="K7" s="188"/>
      <c r="L7" s="200"/>
      <c r="M7" s="188"/>
      <c r="N7" s="197"/>
      <c r="O7" s="193"/>
    </row>
    <row r="8" spans="1:15" s="19" customFormat="1" ht="14.25">
      <c r="A8" s="104" t="s">
        <v>37</v>
      </c>
      <c r="B8" s="105"/>
      <c r="C8" s="26"/>
      <c r="D8" s="26"/>
      <c r="E8" s="26"/>
      <c r="F8" s="26"/>
      <c r="G8" s="150"/>
      <c r="H8" s="150"/>
      <c r="I8" s="151"/>
      <c r="J8" s="151"/>
      <c r="K8" s="152"/>
      <c r="L8" s="153"/>
      <c r="M8" s="152"/>
      <c r="N8" s="152"/>
      <c r="O8" s="152"/>
    </row>
    <row r="9" spans="1:15">
      <c r="A9" s="154" t="s">
        <v>42</v>
      </c>
      <c r="B9" s="29"/>
      <c r="C9" s="27"/>
      <c r="D9" s="27"/>
      <c r="E9" s="27"/>
      <c r="F9" s="28"/>
      <c r="G9" s="27"/>
      <c r="H9" s="27"/>
      <c r="I9" s="27"/>
      <c r="J9" s="26"/>
      <c r="K9" s="26"/>
      <c r="L9" s="26"/>
      <c r="M9" s="26"/>
      <c r="N9" s="26"/>
      <c r="O9" s="26"/>
    </row>
    <row r="10" spans="1:15" s="78" customFormat="1" ht="34.5" customHeight="1">
      <c r="A10" s="155" t="s">
        <v>75</v>
      </c>
      <c r="B10" s="156">
        <f>2-1</f>
        <v>1</v>
      </c>
      <c r="C10" s="157">
        <v>7605</v>
      </c>
      <c r="D10" s="157">
        <v>7949</v>
      </c>
      <c r="E10" s="157">
        <v>8213</v>
      </c>
      <c r="F10" s="156">
        <v>93588</v>
      </c>
      <c r="G10" s="157">
        <v>4</v>
      </c>
      <c r="H10" s="157">
        <v>3744</v>
      </c>
      <c r="I10" s="157">
        <v>28076</v>
      </c>
      <c r="J10" s="157">
        <v>31820</v>
      </c>
      <c r="K10" s="157">
        <v>7605</v>
      </c>
      <c r="L10" s="158">
        <v>5403</v>
      </c>
      <c r="M10" s="159">
        <f>F10+J10+K10+L10</f>
        <v>138416</v>
      </c>
      <c r="N10" s="159">
        <v>2002</v>
      </c>
      <c r="O10" s="160">
        <f>ROUND(M10/N10,2)</f>
        <v>69.14</v>
      </c>
    </row>
    <row r="11" spans="1:15" s="24" customFormat="1" ht="34.5" customHeight="1">
      <c r="A11" s="155" t="s">
        <v>75</v>
      </c>
      <c r="B11" s="156">
        <f>2-1</f>
        <v>1</v>
      </c>
      <c r="C11" s="157">
        <v>7605</v>
      </c>
      <c r="D11" s="157">
        <v>7949</v>
      </c>
      <c r="E11" s="157">
        <v>8213</v>
      </c>
      <c r="F11" s="156">
        <v>93588</v>
      </c>
      <c r="G11" s="157">
        <v>4</v>
      </c>
      <c r="H11" s="157">
        <v>3744</v>
      </c>
      <c r="I11" s="157">
        <v>28076</v>
      </c>
      <c r="J11" s="157">
        <v>31820</v>
      </c>
      <c r="K11" s="157">
        <v>7605</v>
      </c>
      <c r="L11" s="158">
        <v>5079</v>
      </c>
      <c r="M11" s="159">
        <f>F11+J11+K11+L11</f>
        <v>138092</v>
      </c>
      <c r="N11" s="159">
        <v>2002</v>
      </c>
      <c r="O11" s="160">
        <f>ROUND(M11/N11,2)</f>
        <v>68.98</v>
      </c>
    </row>
    <row r="12" spans="1:15" s="24" customFormat="1" ht="34.5" customHeight="1">
      <c r="A12" s="156" t="s">
        <v>159</v>
      </c>
      <c r="B12" s="156">
        <f>SUM(B10:B11)</f>
        <v>2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2"/>
      <c r="M12" s="159">
        <f>SUM(M10:M11)</f>
        <v>276508</v>
      </c>
      <c r="N12" s="159">
        <f>SUM(N10:N11)</f>
        <v>4004</v>
      </c>
      <c r="O12" s="160">
        <f>ROUND(M12/N12,2)</f>
        <v>69.06</v>
      </c>
    </row>
    <row r="13" spans="1:15" s="22" customFormat="1"/>
    <row r="14" spans="1:15" s="22" customFormat="1"/>
    <row r="15" spans="1:15" s="22" customFormat="1">
      <c r="C15" s="24"/>
      <c r="D15" s="24"/>
      <c r="E15" s="24"/>
      <c r="I15" s="23"/>
    </row>
    <row r="16" spans="1:15" s="22" customFormat="1" ht="15.75">
      <c r="A16" s="194" t="s">
        <v>36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</row>
    <row r="17" spans="1:15" s="22" customFormat="1">
      <c r="A17" s="115"/>
      <c r="B17" s="115"/>
      <c r="C17" s="116"/>
      <c r="D17" s="116"/>
      <c r="E17" s="116"/>
      <c r="F17" s="115"/>
      <c r="G17" s="115"/>
      <c r="H17" s="115"/>
      <c r="I17" s="117"/>
      <c r="J17" s="115"/>
      <c r="K17" s="115"/>
      <c r="L17" s="115"/>
      <c r="M17" s="115"/>
      <c r="N17" s="115"/>
      <c r="O17" s="115"/>
    </row>
    <row r="18" spans="1:15" s="37" customFormat="1" ht="15.75">
      <c r="A18" s="194" t="s">
        <v>33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</row>
    <row r="19" spans="1:15" s="1" customFormat="1">
      <c r="C19" s="50"/>
      <c r="D19" s="50"/>
      <c r="E19" s="50"/>
    </row>
    <row r="20" spans="1:15" s="1" customFormat="1">
      <c r="C20" s="50"/>
      <c r="D20" s="50"/>
      <c r="E20" s="50"/>
    </row>
    <row r="21" spans="1:15" s="1" customFormat="1">
      <c r="C21" s="50"/>
      <c r="D21" s="50"/>
      <c r="E21" s="50"/>
    </row>
    <row r="22" spans="1:15" s="1" customFormat="1">
      <c r="C22" s="50"/>
      <c r="D22" s="50"/>
      <c r="E22" s="50"/>
    </row>
    <row r="23" spans="1:15" s="1" customFormat="1">
      <c r="C23" s="50"/>
      <c r="D23" s="50"/>
      <c r="E23" s="50"/>
    </row>
    <row r="24" spans="1:15" s="1" customFormat="1">
      <c r="A24" s="1" t="s">
        <v>31</v>
      </c>
      <c r="C24" s="50"/>
      <c r="D24" s="50"/>
      <c r="E24" s="50"/>
    </row>
    <row r="25" spans="1:15" s="1" customFormat="1">
      <c r="A25" s="1" t="s">
        <v>32</v>
      </c>
      <c r="C25" s="50"/>
      <c r="D25" s="50"/>
      <c r="E25" s="50"/>
    </row>
  </sheetData>
  <mergeCells count="20">
    <mergeCell ref="A16:O16"/>
    <mergeCell ref="A18:O18"/>
    <mergeCell ref="I5:I7"/>
    <mergeCell ref="N4:N7"/>
    <mergeCell ref="F5:F7"/>
    <mergeCell ref="J5:J7"/>
    <mergeCell ref="K5:K7"/>
    <mergeCell ref="E5:E7"/>
    <mergeCell ref="L5:L7"/>
    <mergeCell ref="K4:L4"/>
    <mergeCell ref="A2:O2"/>
    <mergeCell ref="A4:A7"/>
    <mergeCell ref="B4:B7"/>
    <mergeCell ref="C4:F4"/>
    <mergeCell ref="G4:J4"/>
    <mergeCell ref="M4:M7"/>
    <mergeCell ref="G5:H6"/>
    <mergeCell ref="O4:O7"/>
    <mergeCell ref="C5:C7"/>
    <mergeCell ref="D5:D7"/>
  </mergeCells>
  <phoneticPr fontId="28" type="noConversion"/>
  <pageMargins left="0.35433070866141736" right="0.31496062992125984" top="0.8" bottom="0.19685039370078741" header="0.31496062992125984" footer="0.19685039370078741"/>
  <pageSetup paperSize="9" scale="83" orientation="landscape" horizontalDpi="4294967293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I30"/>
  <sheetViews>
    <sheetView view="pageBreakPreview" zoomScale="90" workbookViewId="0">
      <selection activeCell="D9" sqref="D9"/>
    </sheetView>
  </sheetViews>
  <sheetFormatPr defaultRowHeight="15"/>
  <cols>
    <col min="1" max="1" width="5.140625" style="68" customWidth="1"/>
    <col min="2" max="2" width="37.5703125" style="68" customWidth="1"/>
    <col min="3" max="3" width="15" style="68" customWidth="1"/>
    <col min="4" max="4" width="17.140625" style="68" customWidth="1"/>
    <col min="5" max="5" width="11.28515625" style="68" customWidth="1"/>
    <col min="6" max="16384" width="9.140625" style="68"/>
  </cols>
  <sheetData>
    <row r="1" spans="1:5">
      <c r="D1" s="114" t="s">
        <v>136</v>
      </c>
    </row>
    <row r="3" spans="1:5" ht="15" customHeight="1">
      <c r="A3" s="201" t="s">
        <v>71</v>
      </c>
      <c r="B3" s="201"/>
      <c r="C3" s="201"/>
      <c r="D3" s="201"/>
      <c r="E3" s="67"/>
    </row>
    <row r="6" spans="1:5" s="6" customFormat="1" ht="35.25" customHeight="1">
      <c r="A6" s="7" t="s">
        <v>6</v>
      </c>
      <c r="B6" s="7" t="s">
        <v>55</v>
      </c>
      <c r="C6" s="7" t="s">
        <v>41</v>
      </c>
      <c r="D6" s="7" t="s">
        <v>5</v>
      </c>
    </row>
    <row r="7" spans="1:5" s="72" customFormat="1" ht="30" customHeight="1">
      <c r="A7" s="4">
        <v>1</v>
      </c>
      <c r="B7" s="53" t="s">
        <v>67</v>
      </c>
      <c r="C7" s="130" t="s">
        <v>40</v>
      </c>
      <c r="D7" s="79">
        <f>3.9*3</f>
        <v>11.7</v>
      </c>
    </row>
    <row r="8" spans="1:5" s="72" customFormat="1" ht="30" customHeight="1">
      <c r="A8" s="4">
        <v>2</v>
      </c>
      <c r="B8" s="53" t="s">
        <v>64</v>
      </c>
      <c r="C8" s="130" t="s">
        <v>57</v>
      </c>
      <c r="D8" s="13">
        <f>'монтаж демонт'!H6</f>
        <v>96.89</v>
      </c>
    </row>
    <row r="9" spans="1:5" s="72" customFormat="1" ht="30" customHeight="1">
      <c r="A9" s="4">
        <v>3</v>
      </c>
      <c r="B9" s="53" t="s">
        <v>68</v>
      </c>
      <c r="C9" s="130" t="s">
        <v>141</v>
      </c>
      <c r="D9" s="79">
        <v>2384.4699999999998</v>
      </c>
    </row>
    <row r="10" spans="1:5" ht="30" customHeight="1">
      <c r="A10" s="4">
        <v>4</v>
      </c>
      <c r="B10" s="53" t="s">
        <v>65</v>
      </c>
      <c r="C10" s="130" t="s">
        <v>57</v>
      </c>
      <c r="D10" s="13">
        <f>'монтаж демонт'!H11</f>
        <v>96.89</v>
      </c>
    </row>
    <row r="11" spans="1:5" ht="30" customHeight="1">
      <c r="A11" s="4">
        <v>5</v>
      </c>
      <c r="B11" s="53" t="s">
        <v>69</v>
      </c>
      <c r="C11" s="130" t="s">
        <v>40</v>
      </c>
      <c r="D11" s="13">
        <f>24.47*3</f>
        <v>73.41</v>
      </c>
    </row>
    <row r="12" spans="1:5" ht="30" customHeight="1">
      <c r="A12" s="4">
        <v>6</v>
      </c>
      <c r="B12" s="53" t="s">
        <v>78</v>
      </c>
      <c r="C12" s="130" t="s">
        <v>110</v>
      </c>
      <c r="D12" s="13">
        <f>транспортув!H10</f>
        <v>75.260000000000005</v>
      </c>
    </row>
    <row r="13" spans="1:5" ht="30" customHeight="1">
      <c r="A13" s="73"/>
      <c r="B13" s="132" t="s">
        <v>66</v>
      </c>
      <c r="C13" s="74"/>
      <c r="D13" s="75">
        <f>SUM(D7:D12)</f>
        <v>2738.62</v>
      </c>
    </row>
    <row r="14" spans="1:5" ht="30" customHeight="1">
      <c r="A14" s="77"/>
      <c r="B14" s="133" t="s">
        <v>72</v>
      </c>
      <c r="C14" s="76"/>
      <c r="D14" s="84">
        <v>4</v>
      </c>
    </row>
    <row r="15" spans="1:5" ht="30" customHeight="1">
      <c r="A15" s="73"/>
      <c r="B15" s="132" t="s">
        <v>73</v>
      </c>
      <c r="C15" s="74"/>
      <c r="D15" s="75">
        <f>ROUND(D13/D14,2)</f>
        <v>684.66</v>
      </c>
      <c r="E15" s="118"/>
    </row>
    <row r="16" spans="1:5" ht="65.25" customHeight="1">
      <c r="A16" s="172" t="s">
        <v>160</v>
      </c>
      <c r="B16" s="172"/>
      <c r="C16" s="172"/>
      <c r="D16" s="172"/>
    </row>
    <row r="18" spans="1:9" s="37" customFormat="1" ht="16.5" customHeight="1">
      <c r="A18" s="17"/>
      <c r="B18" s="41"/>
      <c r="C18" s="41"/>
      <c r="D18" s="41"/>
      <c r="E18" s="41"/>
      <c r="F18" s="41"/>
      <c r="G18" s="41"/>
      <c r="H18" s="1"/>
    </row>
    <row r="19" spans="1:9" s="55" customFormat="1" ht="16.5" customHeight="1">
      <c r="B19" s="16" t="s">
        <v>8</v>
      </c>
      <c r="C19" s="15"/>
      <c r="D19" s="16" t="s">
        <v>11</v>
      </c>
      <c r="E19" s="81"/>
      <c r="F19" s="81"/>
      <c r="G19" s="81"/>
    </row>
    <row r="20" spans="1:9" s="55" customFormat="1" ht="15.75" customHeight="1">
      <c r="B20" s="17"/>
      <c r="C20" s="15"/>
      <c r="D20" s="16"/>
      <c r="E20" s="81"/>
    </row>
    <row r="21" spans="1:9" s="55" customFormat="1" ht="15.75">
      <c r="B21" s="16" t="s">
        <v>9</v>
      </c>
      <c r="C21" s="15"/>
      <c r="D21" s="16" t="s">
        <v>30</v>
      </c>
      <c r="E21" s="81"/>
    </row>
    <row r="22" spans="1:9" s="37" customFormat="1" ht="15.75" customHeight="1">
      <c r="A22" s="17"/>
      <c r="B22" s="41"/>
      <c r="C22" s="41"/>
      <c r="D22" s="41"/>
      <c r="E22" s="41"/>
      <c r="F22" s="41"/>
      <c r="G22" s="41"/>
      <c r="H22" s="1"/>
      <c r="I22" s="1"/>
    </row>
    <row r="23" spans="1:9" s="1" customFormat="1">
      <c r="A23" s="9"/>
    </row>
    <row r="24" spans="1:9" s="1" customFormat="1">
      <c r="A24" s="9"/>
    </row>
    <row r="25" spans="1:9" s="1" customFormat="1">
      <c r="A25" s="9"/>
    </row>
    <row r="26" spans="1:9" s="1" customFormat="1">
      <c r="A26" s="9"/>
    </row>
    <row r="27" spans="1:9" s="1" customFormat="1">
      <c r="A27" s="9"/>
    </row>
    <row r="28" spans="1:9" s="1" customFormat="1">
      <c r="A28" s="1" t="s">
        <v>31</v>
      </c>
    </row>
    <row r="29" spans="1:9" s="1" customFormat="1">
      <c r="A29" s="1" t="s">
        <v>32</v>
      </c>
    </row>
    <row r="30" spans="1:9" s="1" customFormat="1">
      <c r="A30" s="9"/>
    </row>
  </sheetData>
  <mergeCells count="2">
    <mergeCell ref="A3:D3"/>
    <mergeCell ref="A16:D16"/>
  </mergeCells>
  <phoneticPr fontId="28" type="noConversion"/>
  <pageMargins left="0.7" right="0.3" top="0.75" bottom="0.75" header="0.3" footer="0.3"/>
  <pageSetup paperSize="9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I35"/>
  <sheetViews>
    <sheetView view="pageBreakPreview" zoomScale="90" workbookViewId="0">
      <selection activeCell="D11" sqref="D11"/>
    </sheetView>
  </sheetViews>
  <sheetFormatPr defaultRowHeight="15"/>
  <cols>
    <col min="1" max="1" width="6.7109375" style="68" customWidth="1"/>
    <col min="2" max="2" width="35" style="68" customWidth="1"/>
    <col min="3" max="3" width="15.42578125" style="68" customWidth="1"/>
    <col min="4" max="4" width="15.140625" style="68" customWidth="1"/>
    <col min="5" max="7" width="24.140625" style="68" customWidth="1"/>
    <col min="8" max="16384" width="9.140625" style="68"/>
  </cols>
  <sheetData>
    <row r="1" spans="1:5">
      <c r="D1" s="114" t="s">
        <v>136</v>
      </c>
    </row>
    <row r="3" spans="1:5" ht="15" customHeight="1">
      <c r="A3" s="201" t="s">
        <v>113</v>
      </c>
      <c r="B3" s="201"/>
      <c r="C3" s="201"/>
      <c r="D3" s="201"/>
      <c r="E3" s="67"/>
    </row>
    <row r="6" spans="1:5" s="6" customFormat="1">
      <c r="A6" s="7" t="s">
        <v>6</v>
      </c>
      <c r="B6" s="7" t="s">
        <v>55</v>
      </c>
      <c r="C6" s="7" t="s">
        <v>41</v>
      </c>
      <c r="D6" s="7" t="s">
        <v>5</v>
      </c>
    </row>
    <row r="7" spans="1:5" s="72" customFormat="1" ht="32.25" customHeight="1">
      <c r="A7" s="4">
        <v>1</v>
      </c>
      <c r="B7" s="53" t="s">
        <v>67</v>
      </c>
      <c r="C7" s="130" t="s">
        <v>40</v>
      </c>
      <c r="D7" s="79">
        <v>3.9</v>
      </c>
    </row>
    <row r="8" spans="1:5" s="72" customFormat="1" ht="32.25" customHeight="1">
      <c r="A8" s="4">
        <v>2</v>
      </c>
      <c r="B8" s="53" t="s">
        <v>64</v>
      </c>
      <c r="C8" s="130" t="s">
        <v>57</v>
      </c>
      <c r="D8" s="13">
        <f>'монтаж демонт'!H6</f>
        <v>96.89</v>
      </c>
    </row>
    <row r="9" spans="1:5" s="72" customFormat="1" ht="32.25" customHeight="1">
      <c r="A9" s="4">
        <v>3</v>
      </c>
      <c r="B9" s="53" t="s">
        <v>68</v>
      </c>
      <c r="C9" s="130" t="s">
        <v>141</v>
      </c>
      <c r="D9" s="13">
        <v>195.98</v>
      </c>
    </row>
    <row r="10" spans="1:5" ht="32.25" customHeight="1">
      <c r="A10" s="4">
        <v>4</v>
      </c>
      <c r="B10" s="53" t="s">
        <v>65</v>
      </c>
      <c r="C10" s="130" t="s">
        <v>57</v>
      </c>
      <c r="D10" s="13">
        <f>'монтаж демонт'!H11</f>
        <v>96.89</v>
      </c>
    </row>
    <row r="11" spans="1:5" ht="32.25" customHeight="1">
      <c r="A11" s="4">
        <v>5</v>
      </c>
      <c r="B11" s="53" t="s">
        <v>69</v>
      </c>
      <c r="C11" s="130" t="s">
        <v>40</v>
      </c>
      <c r="D11" s="13">
        <v>24.47</v>
      </c>
    </row>
    <row r="12" spans="1:5" ht="32.25" customHeight="1">
      <c r="A12" s="4">
        <v>6</v>
      </c>
      <c r="B12" s="53" t="s">
        <v>78</v>
      </c>
      <c r="C12" s="130" t="s">
        <v>110</v>
      </c>
      <c r="D12" s="13">
        <f>транспортув!H10</f>
        <v>75.260000000000005</v>
      </c>
    </row>
    <row r="13" spans="1:5" ht="32.25" customHeight="1">
      <c r="A13" s="73"/>
      <c r="B13" s="132" t="s">
        <v>66</v>
      </c>
      <c r="C13" s="74"/>
      <c r="D13" s="75">
        <f>SUM(D7:D12)</f>
        <v>493.39</v>
      </c>
      <c r="E13" s="118"/>
    </row>
    <row r="14" spans="1:5" ht="32.25" customHeight="1">
      <c r="A14" s="77"/>
      <c r="B14" s="133" t="s">
        <v>72</v>
      </c>
      <c r="C14" s="76"/>
      <c r="D14" s="84">
        <v>4</v>
      </c>
    </row>
    <row r="15" spans="1:5" ht="32.25" customHeight="1">
      <c r="A15" s="73"/>
      <c r="B15" s="132" t="s">
        <v>73</v>
      </c>
      <c r="C15" s="74"/>
      <c r="D15" s="75">
        <f>ROUND(D13/D14,2)</f>
        <v>123.35</v>
      </c>
      <c r="E15" s="118"/>
    </row>
    <row r="16" spans="1:5" ht="86.25" customHeight="1">
      <c r="A16" s="172" t="s">
        <v>161</v>
      </c>
      <c r="B16" s="172"/>
      <c r="C16" s="172"/>
      <c r="D16" s="172"/>
    </row>
    <row r="18" spans="1:9" s="55" customFormat="1" ht="16.5" customHeight="1">
      <c r="B18" s="16" t="s">
        <v>8</v>
      </c>
      <c r="C18" s="41"/>
      <c r="D18" s="16" t="s">
        <v>11</v>
      </c>
      <c r="E18" s="81"/>
      <c r="F18" s="81"/>
      <c r="G18" s="81"/>
    </row>
    <row r="19" spans="1:9" s="55" customFormat="1" ht="15.75" customHeight="1">
      <c r="B19" s="17"/>
      <c r="C19" s="15"/>
      <c r="D19" s="16"/>
      <c r="E19" s="81"/>
    </row>
    <row r="20" spans="1:9" s="55" customFormat="1" ht="15.75">
      <c r="B20" s="16" t="s">
        <v>9</v>
      </c>
      <c r="C20" s="15"/>
      <c r="D20" s="16" t="s">
        <v>30</v>
      </c>
      <c r="E20" s="81"/>
    </row>
    <row r="21" spans="1:9" s="37" customFormat="1" ht="16.5" customHeight="1">
      <c r="A21" s="17"/>
      <c r="B21" s="41"/>
      <c r="C21" s="15"/>
      <c r="D21" s="41"/>
      <c r="E21" s="41"/>
      <c r="F21" s="41"/>
      <c r="G21" s="41"/>
      <c r="H21" s="1"/>
    </row>
    <row r="22" spans="1:9" s="37" customFormat="1" ht="15.75" customHeight="1">
      <c r="A22" s="17"/>
      <c r="B22" s="41"/>
      <c r="C22" s="41"/>
      <c r="D22" s="41"/>
      <c r="E22" s="41"/>
      <c r="F22" s="41"/>
      <c r="G22" s="41"/>
      <c r="H22" s="1"/>
      <c r="I22" s="1"/>
    </row>
    <row r="23" spans="1:9" s="37" customFormat="1" ht="15.75">
      <c r="A23" s="17"/>
      <c r="B23" s="41"/>
      <c r="C23" s="1"/>
      <c r="D23" s="41"/>
      <c r="E23" s="41"/>
      <c r="F23" s="41"/>
      <c r="G23" s="41"/>
      <c r="H23" s="1"/>
      <c r="I23" s="1"/>
    </row>
    <row r="24" spans="1:9" s="1" customFormat="1">
      <c r="A24" s="9"/>
    </row>
    <row r="25" spans="1:9" s="1" customFormat="1">
      <c r="A25" s="9"/>
    </row>
    <row r="26" spans="1:9" s="1" customFormat="1">
      <c r="A26" s="9"/>
    </row>
    <row r="27" spans="1:9" s="1" customFormat="1">
      <c r="A27" s="9"/>
    </row>
    <row r="28" spans="1:9" s="1" customFormat="1">
      <c r="A28" s="9"/>
    </row>
    <row r="29" spans="1:9" s="1" customFormat="1">
      <c r="A29" s="9"/>
    </row>
    <row r="30" spans="1:9" s="1" customFormat="1">
      <c r="A30" s="9"/>
    </row>
    <row r="31" spans="1:9" s="1" customFormat="1">
      <c r="A31" s="9"/>
      <c r="C31" s="68"/>
    </row>
    <row r="32" spans="1:9" s="1" customFormat="1">
      <c r="A32" s="9"/>
      <c r="C32" s="68"/>
    </row>
    <row r="33" spans="1:3" s="1" customFormat="1">
      <c r="A33" s="1" t="s">
        <v>31</v>
      </c>
      <c r="C33" s="68"/>
    </row>
    <row r="34" spans="1:3" s="1" customFormat="1">
      <c r="A34" s="1" t="s">
        <v>32</v>
      </c>
      <c r="C34" s="68"/>
    </row>
    <row r="35" spans="1:3" s="1" customFormat="1">
      <c r="A35" s="9"/>
      <c r="C35" s="68"/>
    </row>
  </sheetData>
  <mergeCells count="2">
    <mergeCell ref="A3:D3"/>
    <mergeCell ref="A16:D16"/>
  </mergeCells>
  <phoneticPr fontId="28" type="noConversion"/>
  <pageMargins left="0.7" right="0.3" top="0.28000000000000003" bottom="0.32" header="0.3" footer="0.3"/>
  <pageSetup paperSize="9" orientation="portrait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70"/>
  <sheetViews>
    <sheetView view="pageBreakPreview" zoomScale="90" zoomScaleSheetLayoutView="90" workbookViewId="0">
      <selection activeCell="H9" sqref="H9"/>
    </sheetView>
  </sheetViews>
  <sheetFormatPr defaultRowHeight="15"/>
  <cols>
    <col min="1" max="1" width="5.85546875" style="144" customWidth="1"/>
    <col min="2" max="2" width="34.85546875" style="1" customWidth="1"/>
    <col min="3" max="3" width="7.140625" style="1" customWidth="1"/>
    <col min="4" max="4" width="10.28515625" style="1" customWidth="1"/>
    <col min="5" max="5" width="6.28515625" style="1" customWidth="1"/>
    <col min="6" max="6" width="8.5703125" style="1" customWidth="1"/>
    <col min="7" max="7" width="8.140625" style="1" customWidth="1"/>
    <col min="8" max="8" width="8" style="1" customWidth="1"/>
    <col min="9" max="9" width="9.140625" style="1"/>
    <col min="10" max="10" width="6" style="1" bestFit="1" customWidth="1"/>
    <col min="11" max="16384" width="9.140625" style="1"/>
  </cols>
  <sheetData>
    <row r="1" spans="1:11" ht="15.75" customHeight="1">
      <c r="H1" s="114" t="s">
        <v>162</v>
      </c>
    </row>
    <row r="2" spans="1:11" ht="15.75" customHeight="1"/>
    <row r="3" spans="1:11" ht="48.75" customHeight="1">
      <c r="B3" s="171" t="s">
        <v>154</v>
      </c>
      <c r="C3" s="171"/>
      <c r="D3" s="171"/>
      <c r="E3" s="171"/>
      <c r="F3" s="171"/>
      <c r="G3" s="171"/>
      <c r="H3" s="171"/>
      <c r="I3" s="40"/>
      <c r="K3" s="6"/>
    </row>
    <row r="4" spans="1:11" ht="15.75" customHeight="1">
      <c r="J4" s="43"/>
    </row>
    <row r="5" spans="1:11" s="6" customFormat="1" ht="48" customHeight="1">
      <c r="A5" s="145" t="s">
        <v>6</v>
      </c>
      <c r="B5" s="7" t="s">
        <v>55</v>
      </c>
      <c r="C5" s="7" t="s">
        <v>77</v>
      </c>
      <c r="D5" s="7" t="s">
        <v>41</v>
      </c>
      <c r="E5" s="7" t="s">
        <v>60</v>
      </c>
      <c r="F5" s="7" t="s">
        <v>58</v>
      </c>
      <c r="G5" s="7" t="s">
        <v>10</v>
      </c>
      <c r="H5" s="7" t="s">
        <v>5</v>
      </c>
      <c r="J5" s="1"/>
      <c r="K5" s="1"/>
    </row>
    <row r="6" spans="1:11" s="43" customFormat="1" ht="14.25">
      <c r="A6" s="61">
        <v>1</v>
      </c>
      <c r="B6" s="202" t="s">
        <v>151</v>
      </c>
      <c r="C6" s="203"/>
      <c r="D6" s="203"/>
      <c r="E6" s="203"/>
      <c r="F6" s="203"/>
      <c r="G6" s="203"/>
      <c r="H6" s="44">
        <f>SUM(H7:H9)</f>
        <v>96.89</v>
      </c>
    </row>
    <row r="7" spans="1:11" ht="36" customHeight="1">
      <c r="A7" s="14" t="s">
        <v>156</v>
      </c>
      <c r="B7" s="53" t="s">
        <v>155</v>
      </c>
      <c r="C7" s="65" t="s">
        <v>56</v>
      </c>
      <c r="D7" s="66" t="s">
        <v>57</v>
      </c>
      <c r="E7" s="69">
        <v>2</v>
      </c>
      <c r="F7" s="142">
        <v>0.5</v>
      </c>
      <c r="G7" s="71">
        <f>'людгод (сто)'!O12</f>
        <v>69.06</v>
      </c>
      <c r="H7" s="13">
        <f>ROUND(E7*F7*G7,2)</f>
        <v>69.06</v>
      </c>
    </row>
    <row r="8" spans="1:11" ht="60">
      <c r="A8" s="14" t="s">
        <v>157</v>
      </c>
      <c r="B8" s="143" t="s">
        <v>34</v>
      </c>
      <c r="C8" s="65"/>
      <c r="D8" s="66"/>
      <c r="E8" s="69"/>
      <c r="F8" s="142"/>
      <c r="G8" s="71"/>
      <c r="H8" s="70">
        <f>ROUND(H7*22%,2)</f>
        <v>15.19</v>
      </c>
    </row>
    <row r="9" spans="1:11" ht="36" customHeight="1">
      <c r="A9" s="14" t="s">
        <v>158</v>
      </c>
      <c r="B9" s="143" t="s">
        <v>122</v>
      </c>
      <c r="C9" s="65"/>
      <c r="D9" s="66"/>
      <c r="E9" s="69"/>
      <c r="F9" s="142"/>
      <c r="G9" s="71"/>
      <c r="H9" s="70">
        <f>ROUND(H7*18.3%,2)</f>
        <v>12.64</v>
      </c>
    </row>
    <row r="10" spans="1:11">
      <c r="A10" s="14"/>
      <c r="B10" s="53"/>
      <c r="C10" s="65"/>
      <c r="D10" s="66"/>
      <c r="E10" s="69"/>
      <c r="F10" s="142"/>
      <c r="G10" s="71"/>
      <c r="H10" s="13"/>
    </row>
    <row r="11" spans="1:11">
      <c r="A11" s="14">
        <v>2</v>
      </c>
      <c r="B11" s="202" t="s">
        <v>152</v>
      </c>
      <c r="C11" s="203"/>
      <c r="D11" s="203"/>
      <c r="E11" s="203"/>
      <c r="F11" s="203"/>
      <c r="G11" s="204"/>
      <c r="H11" s="44">
        <f>SUM(H12:H14)</f>
        <v>96.89</v>
      </c>
    </row>
    <row r="12" spans="1:11" s="43" customFormat="1" ht="36" customHeight="1">
      <c r="A12" s="14" t="s">
        <v>165</v>
      </c>
      <c r="B12" s="53" t="s">
        <v>155</v>
      </c>
      <c r="C12" s="65" t="s">
        <v>56</v>
      </c>
      <c r="D12" s="66" t="s">
        <v>57</v>
      </c>
      <c r="E12" s="69">
        <v>2</v>
      </c>
      <c r="F12" s="142">
        <v>0.5</v>
      </c>
      <c r="G12" s="71">
        <f>'людгод (сто)'!O12</f>
        <v>69.06</v>
      </c>
      <c r="H12" s="13">
        <f>ROUND(E12*F12*G12,2)</f>
        <v>69.06</v>
      </c>
      <c r="J12" s="41"/>
      <c r="K12" s="1"/>
    </row>
    <row r="13" spans="1:11" s="43" customFormat="1" ht="60">
      <c r="A13" s="14" t="s">
        <v>166</v>
      </c>
      <c r="B13" s="143" t="s">
        <v>34</v>
      </c>
      <c r="C13" s="65"/>
      <c r="D13" s="66"/>
      <c r="E13" s="69"/>
      <c r="F13" s="142"/>
      <c r="G13" s="71"/>
      <c r="H13" s="70">
        <f>ROUND(H12*22%,2)</f>
        <v>15.19</v>
      </c>
      <c r="J13" s="41"/>
      <c r="K13" s="1"/>
    </row>
    <row r="14" spans="1:11" s="43" customFormat="1" ht="36" customHeight="1">
      <c r="A14" s="14" t="s">
        <v>167</v>
      </c>
      <c r="B14" s="143" t="s">
        <v>122</v>
      </c>
      <c r="C14" s="65"/>
      <c r="D14" s="66"/>
      <c r="E14" s="69"/>
      <c r="F14" s="142"/>
      <c r="G14" s="71"/>
      <c r="H14" s="70">
        <f>ROUND(H12*18.3%,2)</f>
        <v>12.64</v>
      </c>
      <c r="J14" s="41"/>
      <c r="K14" s="1"/>
    </row>
    <row r="15" spans="1:11" ht="36" customHeight="1">
      <c r="A15" s="172" t="s">
        <v>153</v>
      </c>
      <c r="B15" s="172"/>
      <c r="C15" s="172"/>
      <c r="D15" s="172"/>
      <c r="E15" s="172"/>
      <c r="F15" s="172"/>
      <c r="G15" s="172"/>
      <c r="H15" s="172"/>
      <c r="J15" s="41"/>
    </row>
    <row r="16" spans="1:11" ht="15.75">
      <c r="A16" s="146"/>
      <c r="B16" s="48"/>
      <c r="C16" s="48"/>
      <c r="D16" s="48"/>
      <c r="E16" s="48"/>
      <c r="F16" s="48"/>
      <c r="G16" s="48"/>
      <c r="H16" s="48"/>
      <c r="K16" s="37"/>
    </row>
    <row r="17" spans="1:11" ht="15.75">
      <c r="K17" s="37"/>
    </row>
    <row r="18" spans="1:11" s="15" customFormat="1" ht="15.75">
      <c r="A18" s="147"/>
      <c r="B18" s="16" t="s">
        <v>8</v>
      </c>
      <c r="F18" s="16" t="s">
        <v>11</v>
      </c>
    </row>
    <row r="19" spans="1:11" s="15" customFormat="1" ht="15.75">
      <c r="A19" s="147"/>
      <c r="B19" s="17"/>
      <c r="F19" s="16"/>
    </row>
    <row r="20" spans="1:11" s="15" customFormat="1" ht="15.75">
      <c r="A20" s="147"/>
      <c r="B20" s="16" t="s">
        <v>9</v>
      </c>
      <c r="F20" s="16" t="s">
        <v>30</v>
      </c>
    </row>
    <row r="21" spans="1:11" s="37" customFormat="1" ht="16.5" customHeight="1">
      <c r="A21" s="148"/>
      <c r="B21" s="41"/>
      <c r="C21" s="41"/>
      <c r="D21" s="41"/>
      <c r="E21" s="41"/>
      <c r="F21" s="41"/>
      <c r="G21" s="41"/>
      <c r="H21" s="41"/>
      <c r="I21" s="41"/>
      <c r="J21" s="1"/>
    </row>
    <row r="22" spans="1:11" s="37" customFormat="1" ht="15.75" customHeight="1">
      <c r="A22" s="148"/>
      <c r="B22" s="41"/>
      <c r="C22" s="41"/>
      <c r="D22" s="41"/>
      <c r="E22" s="41"/>
      <c r="F22" s="41"/>
      <c r="G22" s="41"/>
      <c r="H22" s="41"/>
      <c r="I22" s="41"/>
      <c r="J22" s="1"/>
      <c r="K22" s="1"/>
    </row>
    <row r="23" spans="1:11" s="37" customFormat="1" ht="15.75">
      <c r="A23" s="148"/>
      <c r="B23" s="41"/>
      <c r="C23" s="41"/>
      <c r="D23" s="41"/>
      <c r="E23" s="41"/>
      <c r="F23" s="41"/>
      <c r="G23" s="41"/>
      <c r="H23" s="41"/>
      <c r="I23" s="41"/>
      <c r="J23" s="1"/>
      <c r="K23" s="1"/>
    </row>
    <row r="36" spans="1:1">
      <c r="A36" s="149" t="s">
        <v>31</v>
      </c>
    </row>
    <row r="37" spans="1:1">
      <c r="A37" s="149" t="s">
        <v>32</v>
      </c>
    </row>
    <row r="43" spans="1:1" ht="15.75" customHeight="1">
      <c r="A43" s="149"/>
    </row>
    <row r="44" spans="1:1" ht="15.75" customHeight="1">
      <c r="A44" s="149"/>
    </row>
    <row r="45" spans="1:1">
      <c r="A45" s="149"/>
    </row>
    <row r="46" spans="1:1">
      <c r="A46" s="149"/>
    </row>
    <row r="47" spans="1:1">
      <c r="A47" s="149"/>
    </row>
    <row r="48" spans="1:1">
      <c r="A48" s="149"/>
    </row>
    <row r="49" spans="1:1">
      <c r="A49" s="149"/>
    </row>
    <row r="50" spans="1:1">
      <c r="A50" s="149"/>
    </row>
    <row r="51" spans="1:1" ht="62.25" customHeight="1">
      <c r="A51" s="149"/>
    </row>
    <row r="52" spans="1:1">
      <c r="A52" s="149"/>
    </row>
    <row r="53" spans="1:1">
      <c r="A53" s="149"/>
    </row>
    <row r="54" spans="1:1">
      <c r="A54" s="149"/>
    </row>
    <row r="55" spans="1:1">
      <c r="A55" s="149"/>
    </row>
    <row r="56" spans="1:1">
      <c r="A56" s="149"/>
    </row>
    <row r="57" spans="1:1">
      <c r="A57" s="149"/>
    </row>
    <row r="58" spans="1:1">
      <c r="A58" s="149"/>
    </row>
    <row r="59" spans="1:1">
      <c r="A59" s="149"/>
    </row>
    <row r="60" spans="1:1">
      <c r="A60" s="149"/>
    </row>
    <row r="61" spans="1:1">
      <c r="A61" s="149"/>
    </row>
    <row r="62" spans="1:1">
      <c r="A62" s="149"/>
    </row>
    <row r="63" spans="1:1">
      <c r="A63" s="149"/>
    </row>
    <row r="64" spans="1:1">
      <c r="A64" s="149"/>
    </row>
    <row r="65" spans="1:1">
      <c r="A65" s="149"/>
    </row>
    <row r="66" spans="1:1">
      <c r="A66" s="149"/>
    </row>
    <row r="67" spans="1:1">
      <c r="A67" s="149"/>
    </row>
    <row r="68" spans="1:1">
      <c r="A68" s="149"/>
    </row>
    <row r="69" spans="1:1">
      <c r="A69" s="149"/>
    </row>
    <row r="70" spans="1:1">
      <c r="A70" s="149"/>
    </row>
  </sheetData>
  <mergeCells count="4">
    <mergeCell ref="B3:H3"/>
    <mergeCell ref="A15:H15"/>
    <mergeCell ref="B6:G6"/>
    <mergeCell ref="B11:G11"/>
  </mergeCells>
  <phoneticPr fontId="28" type="noConversion"/>
  <pageMargins left="0.61" right="0.23622047244094491" top="0.86614173228346458" bottom="0.31496062992125984" header="0.31496062992125984" footer="0.31496062992125984"/>
  <pageSetup paperSize="9" scale="97" orientation="portrait" horizontalDpi="4294967293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view="pageBreakPreview" zoomScale="90" zoomScaleSheetLayoutView="90" workbookViewId="0">
      <selection activeCell="E9" sqref="E9"/>
    </sheetView>
  </sheetViews>
  <sheetFormatPr defaultRowHeight="15"/>
  <cols>
    <col min="1" max="1" width="5" style="1" customWidth="1"/>
    <col min="2" max="2" width="35.28515625" style="1" customWidth="1"/>
    <col min="3" max="3" width="10.28515625" style="1" customWidth="1"/>
    <col min="4" max="4" width="9.85546875" style="1" customWidth="1"/>
    <col min="5" max="5" width="11.140625" style="1" customWidth="1"/>
    <col min="6" max="6" width="7.5703125" style="1" customWidth="1"/>
    <col min="7" max="7" width="9.140625" style="1"/>
    <col min="8" max="8" width="9.7109375" style="1" customWidth="1"/>
    <col min="9" max="9" width="9.28515625" style="1" bestFit="1" customWidth="1"/>
    <col min="10" max="10" width="11.28515625" style="1" bestFit="1" customWidth="1"/>
    <col min="11" max="13" width="9.28515625" style="1" bestFit="1" customWidth="1"/>
    <col min="14" max="16384" width="9.140625" style="1"/>
  </cols>
  <sheetData>
    <row r="1" spans="1:10">
      <c r="H1" s="114" t="s">
        <v>163</v>
      </c>
    </row>
    <row r="2" spans="1:10" ht="54.75" customHeight="1">
      <c r="A2" s="207" t="s">
        <v>115</v>
      </c>
      <c r="B2" s="207"/>
      <c r="C2" s="207"/>
      <c r="D2" s="207"/>
      <c r="E2" s="207"/>
      <c r="F2" s="207"/>
      <c r="G2" s="207"/>
      <c r="H2" s="207"/>
    </row>
    <row r="4" spans="1:10" s="48" customFormat="1" ht="105.75" customHeight="1">
      <c r="A4" s="7" t="s">
        <v>6</v>
      </c>
      <c r="B4" s="7" t="s">
        <v>137</v>
      </c>
      <c r="C4" s="7" t="s">
        <v>82</v>
      </c>
      <c r="D4" s="7" t="s">
        <v>89</v>
      </c>
      <c r="E4" s="7" t="s">
        <v>83</v>
      </c>
      <c r="F4" s="7" t="s">
        <v>116</v>
      </c>
      <c r="G4" s="7" t="s">
        <v>119</v>
      </c>
      <c r="H4" s="7" t="s">
        <v>81</v>
      </c>
    </row>
    <row r="5" spans="1:10" ht="36" customHeight="1">
      <c r="A5" s="119">
        <v>1</v>
      </c>
      <c r="B5" s="82" t="s">
        <v>80</v>
      </c>
      <c r="C5" s="70">
        <f>'людгод (транспортування)'!P10*8</f>
        <v>967.28</v>
      </c>
      <c r="D5" s="85">
        <v>4</v>
      </c>
      <c r="E5" s="70">
        <f>ROUND(C5*D5,2)</f>
        <v>3869.12</v>
      </c>
      <c r="F5" s="106"/>
      <c r="G5" s="120"/>
      <c r="H5" s="120"/>
    </row>
    <row r="6" spans="1:10" ht="60">
      <c r="A6" s="119">
        <v>2</v>
      </c>
      <c r="B6" s="82" t="s">
        <v>34</v>
      </c>
      <c r="C6" s="70"/>
      <c r="D6" s="85"/>
      <c r="E6" s="70">
        <f>ROUND(E5*22%,2)</f>
        <v>851.21</v>
      </c>
      <c r="F6" s="106"/>
      <c r="G6" s="121"/>
      <c r="H6" s="121"/>
    </row>
    <row r="7" spans="1:10" ht="36" customHeight="1">
      <c r="A7" s="119">
        <v>3</v>
      </c>
      <c r="B7" s="82" t="s">
        <v>122</v>
      </c>
      <c r="C7" s="70"/>
      <c r="D7" s="85"/>
      <c r="E7" s="70">
        <f>ROUND(E5*18.3%,2)</f>
        <v>708.05</v>
      </c>
      <c r="F7" s="106"/>
      <c r="G7" s="121"/>
      <c r="H7" s="121"/>
    </row>
    <row r="8" spans="1:10" ht="36" customHeight="1">
      <c r="A8" s="119">
        <v>4</v>
      </c>
      <c r="B8" s="82" t="s">
        <v>79</v>
      </c>
      <c r="C8" s="86">
        <v>200</v>
      </c>
      <c r="D8" s="86">
        <v>4</v>
      </c>
      <c r="E8" s="70">
        <f>C8*D8</f>
        <v>800</v>
      </c>
      <c r="F8" s="106"/>
      <c r="G8" s="121"/>
      <c r="H8" s="121"/>
    </row>
    <row r="9" spans="1:10" ht="36" customHeight="1">
      <c r="A9" s="119">
        <v>5</v>
      </c>
      <c r="B9" s="82" t="s">
        <v>149</v>
      </c>
      <c r="C9" s="85">
        <v>3236</v>
      </c>
      <c r="D9" s="85">
        <v>4</v>
      </c>
      <c r="E9" s="70">
        <f>C9*D9</f>
        <v>12944</v>
      </c>
      <c r="F9" s="107"/>
      <c r="G9" s="122"/>
      <c r="H9" s="122"/>
    </row>
    <row r="10" spans="1:10" ht="36" customHeight="1">
      <c r="A10" s="123"/>
      <c r="B10" s="80" t="s">
        <v>84</v>
      </c>
      <c r="C10" s="79">
        <f>SUM(C5:C9)</f>
        <v>4403.28</v>
      </c>
      <c r="D10" s="79"/>
      <c r="E10" s="79">
        <f>SUM(E5:E9)</f>
        <v>19172.38</v>
      </c>
      <c r="F10" s="108">
        <v>4</v>
      </c>
      <c r="G10" s="4">
        <f>305+715-1</f>
        <v>1019</v>
      </c>
      <c r="H10" s="13">
        <f>ROUND(E10*F10/G10,2)</f>
        <v>75.260000000000005</v>
      </c>
    </row>
    <row r="12" spans="1:10" ht="39" customHeight="1">
      <c r="A12" s="206" t="s">
        <v>138</v>
      </c>
      <c r="B12" s="206"/>
      <c r="C12" s="206"/>
      <c r="D12" s="206"/>
      <c r="E12" s="206"/>
      <c r="F12" s="206"/>
      <c r="G12" s="206"/>
      <c r="H12" s="206"/>
    </row>
    <row r="13" spans="1:10" ht="30.75" customHeight="1">
      <c r="A13" s="205" t="s">
        <v>120</v>
      </c>
      <c r="B13" s="205"/>
      <c r="C13" s="205"/>
      <c r="D13" s="205"/>
      <c r="E13" s="205"/>
      <c r="F13" s="205"/>
      <c r="G13" s="205"/>
      <c r="H13" s="205"/>
    </row>
    <row r="16" spans="1:10" s="55" customFormat="1" ht="16.5" customHeight="1">
      <c r="B16" s="16" t="s">
        <v>8</v>
      </c>
      <c r="C16" s="15"/>
      <c r="D16" s="15"/>
      <c r="E16" s="15"/>
      <c r="G16" s="16" t="s">
        <v>11</v>
      </c>
      <c r="H16" s="81"/>
      <c r="I16" s="81"/>
      <c r="J16" s="81"/>
    </row>
    <row r="17" spans="1:12" s="55" customFormat="1" ht="15.75" customHeight="1">
      <c r="B17" s="17"/>
      <c r="C17" s="15"/>
      <c r="D17" s="15"/>
      <c r="E17" s="15"/>
      <c r="G17" s="16"/>
      <c r="H17" s="81"/>
    </row>
    <row r="18" spans="1:12" s="55" customFormat="1" ht="15.75">
      <c r="B18" s="16" t="s">
        <v>9</v>
      </c>
      <c r="C18" s="15"/>
      <c r="D18" s="15"/>
      <c r="E18" s="15"/>
      <c r="G18" s="16" t="s">
        <v>30</v>
      </c>
      <c r="H18" s="81"/>
    </row>
    <row r="19" spans="1:12" s="37" customFormat="1" ht="16.5" customHeight="1">
      <c r="A19" s="17"/>
      <c r="B19" s="41"/>
      <c r="C19" s="41"/>
      <c r="D19" s="41"/>
      <c r="E19" s="41"/>
      <c r="F19" s="41"/>
      <c r="G19" s="41"/>
      <c r="H19" s="41"/>
      <c r="I19" s="41"/>
      <c r="J19" s="41"/>
      <c r="K19" s="1"/>
    </row>
    <row r="20" spans="1:12" s="37" customFormat="1" ht="15.75" customHeight="1">
      <c r="A20" s="17"/>
      <c r="B20" s="41"/>
      <c r="C20" s="41"/>
      <c r="D20" s="41"/>
      <c r="E20" s="41"/>
      <c r="F20" s="41"/>
      <c r="G20" s="41"/>
      <c r="H20" s="41"/>
      <c r="I20" s="41"/>
      <c r="J20" s="41"/>
      <c r="K20" s="1"/>
      <c r="L20" s="1"/>
    </row>
    <row r="21" spans="1:12" s="37" customFormat="1" ht="15.75">
      <c r="A21" s="17"/>
      <c r="B21" s="41"/>
      <c r="C21" s="41"/>
      <c r="D21" s="41"/>
      <c r="E21" s="41"/>
      <c r="F21" s="41"/>
      <c r="G21" s="41"/>
      <c r="H21" s="41"/>
      <c r="I21" s="41"/>
      <c r="J21" s="41"/>
      <c r="K21" s="1"/>
      <c r="L21" s="1"/>
    </row>
    <row r="22" spans="1:12">
      <c r="A22" s="9"/>
    </row>
    <row r="23" spans="1:12">
      <c r="A23" s="9"/>
    </row>
    <row r="24" spans="1:12">
      <c r="A24" s="9"/>
    </row>
    <row r="25" spans="1:12">
      <c r="A25" s="9"/>
    </row>
    <row r="26" spans="1:12">
      <c r="A26" s="9"/>
    </row>
    <row r="27" spans="1:12">
      <c r="A27" s="9"/>
    </row>
    <row r="28" spans="1:12">
      <c r="A28" s="9"/>
    </row>
    <row r="29" spans="1:12">
      <c r="A29" s="9"/>
    </row>
    <row r="30" spans="1:12">
      <c r="A30" s="9"/>
    </row>
    <row r="31" spans="1:12">
      <c r="A31" s="1" t="s">
        <v>31</v>
      </c>
    </row>
    <row r="32" spans="1:12">
      <c r="A32" s="1" t="s">
        <v>32</v>
      </c>
    </row>
    <row r="33" spans="1:1">
      <c r="A33" s="9"/>
    </row>
    <row r="34" spans="1:1" s="68" customFormat="1"/>
    <row r="35" spans="1:1" s="68" customFormat="1"/>
    <row r="36" spans="1:1" s="68" customFormat="1"/>
    <row r="37" spans="1:1" s="68" customFormat="1"/>
    <row r="38" spans="1:1" s="68" customFormat="1"/>
    <row r="39" spans="1:1" s="68" customFormat="1"/>
    <row r="40" spans="1:1" s="68" customFormat="1"/>
    <row r="41" spans="1:1" s="68" customFormat="1"/>
    <row r="42" spans="1:1" s="68" customFormat="1"/>
    <row r="43" spans="1:1" s="68" customFormat="1"/>
    <row r="44" spans="1:1" s="68" customFormat="1"/>
    <row r="45" spans="1:1" s="68" customFormat="1"/>
    <row r="46" spans="1:1" s="68" customFormat="1"/>
  </sheetData>
  <mergeCells count="3">
    <mergeCell ref="A13:H13"/>
    <mergeCell ref="A12:H12"/>
    <mergeCell ref="A2:H2"/>
  </mergeCells>
  <phoneticPr fontId="28" type="noConversion"/>
  <pageMargins left="0.77" right="0.3" top="0.75" bottom="0.53" header="0.3" footer="0.3"/>
  <pageSetup paperSize="9" scale="90" orientation="portrait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view="pageBreakPreview" zoomScale="90" zoomScaleNormal="80" zoomScaleSheetLayoutView="90" workbookViewId="0">
      <selection activeCell="W10" sqref="W10"/>
    </sheetView>
  </sheetViews>
  <sheetFormatPr defaultColWidth="9.7109375" defaultRowHeight="15"/>
  <cols>
    <col min="1" max="1" width="24.28515625" style="20" customWidth="1"/>
    <col min="2" max="2" width="7.5703125" style="18" customWidth="1"/>
    <col min="3" max="6" width="9.42578125" style="18" customWidth="1"/>
    <col min="7" max="8" width="9.42578125" style="18" hidden="1" customWidth="1"/>
    <col min="9" max="9" width="9.7109375" style="18" customWidth="1"/>
    <col min="10" max="10" width="9.42578125" style="18" customWidth="1"/>
    <col min="11" max="14" width="9.42578125" style="19" customWidth="1"/>
    <col min="15" max="15" width="10.5703125" style="19" customWidth="1"/>
    <col min="16" max="16" width="8.7109375" style="19" customWidth="1"/>
    <col min="17" max="241" width="9.140625" style="18" customWidth="1"/>
    <col min="242" max="242" width="45.42578125" style="18" customWidth="1"/>
    <col min="243" max="243" width="8.5703125" style="18" customWidth="1"/>
    <col min="244" max="16384" width="9.7109375" style="18"/>
  </cols>
  <sheetData>
    <row r="1" spans="1:16" s="34" customFormat="1" ht="52.5" customHeight="1">
      <c r="A1" s="2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O1" s="35"/>
      <c r="P1" s="35" t="s">
        <v>164</v>
      </c>
    </row>
    <row r="2" spans="1:16" s="21" customFormat="1" ht="23.25" customHeight="1">
      <c r="A2" s="173" t="s">
        <v>140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s="21" customFormat="1" ht="15.7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1"/>
      <c r="O3" s="31"/>
      <c r="P3" s="31"/>
    </row>
    <row r="4" spans="1:16" ht="25.5" customHeight="1">
      <c r="A4" s="174" t="s">
        <v>28</v>
      </c>
      <c r="B4" s="177" t="s">
        <v>27</v>
      </c>
      <c r="C4" s="180" t="s">
        <v>26</v>
      </c>
      <c r="D4" s="181"/>
      <c r="E4" s="181"/>
      <c r="F4" s="182"/>
      <c r="G4" s="183" t="s">
        <v>25</v>
      </c>
      <c r="H4" s="184"/>
      <c r="I4" s="184"/>
      <c r="J4" s="184"/>
      <c r="K4" s="185"/>
      <c r="L4" s="180" t="s">
        <v>24</v>
      </c>
      <c r="M4" s="182"/>
      <c r="N4" s="186" t="s">
        <v>23</v>
      </c>
      <c r="O4" s="212" t="s">
        <v>13</v>
      </c>
      <c r="P4" s="193" t="s">
        <v>17</v>
      </c>
    </row>
    <row r="5" spans="1:16" ht="16.5" customHeight="1">
      <c r="A5" s="175"/>
      <c r="B5" s="178"/>
      <c r="C5" s="208" t="s">
        <v>86</v>
      </c>
      <c r="D5" s="208" t="s">
        <v>87</v>
      </c>
      <c r="E5" s="208" t="s">
        <v>88</v>
      </c>
      <c r="F5" s="186" t="s">
        <v>22</v>
      </c>
      <c r="G5" s="189" t="s">
        <v>12</v>
      </c>
      <c r="H5" s="190"/>
      <c r="I5" s="186" t="s">
        <v>21</v>
      </c>
      <c r="J5" s="186" t="s">
        <v>20</v>
      </c>
      <c r="K5" s="186" t="s">
        <v>19</v>
      </c>
      <c r="L5" s="186" t="s">
        <v>18</v>
      </c>
      <c r="M5" s="198" t="s">
        <v>29</v>
      </c>
      <c r="N5" s="187"/>
      <c r="O5" s="213"/>
      <c r="P5" s="193"/>
    </row>
    <row r="6" spans="1:16" ht="21.75" customHeight="1">
      <c r="A6" s="175"/>
      <c r="B6" s="178"/>
      <c r="C6" s="209"/>
      <c r="D6" s="209"/>
      <c r="E6" s="209"/>
      <c r="F6" s="187"/>
      <c r="G6" s="191"/>
      <c r="H6" s="192"/>
      <c r="I6" s="187"/>
      <c r="J6" s="187"/>
      <c r="K6" s="187"/>
      <c r="L6" s="187"/>
      <c r="M6" s="199"/>
      <c r="N6" s="187"/>
      <c r="O6" s="213"/>
      <c r="P6" s="193"/>
    </row>
    <row r="7" spans="1:16" ht="55.5" customHeight="1">
      <c r="A7" s="176"/>
      <c r="B7" s="179"/>
      <c r="C7" s="210"/>
      <c r="D7" s="210"/>
      <c r="E7" s="210"/>
      <c r="F7" s="188"/>
      <c r="G7" s="30" t="s">
        <v>16</v>
      </c>
      <c r="H7" s="30" t="s">
        <v>15</v>
      </c>
      <c r="I7" s="188"/>
      <c r="J7" s="188"/>
      <c r="K7" s="188"/>
      <c r="L7" s="188"/>
      <c r="M7" s="200"/>
      <c r="N7" s="188"/>
      <c r="O7" s="214"/>
      <c r="P7" s="193"/>
    </row>
    <row r="8" spans="1:16" s="19" customFormat="1" ht="14.25">
      <c r="A8" s="104" t="s">
        <v>14</v>
      </c>
      <c r="B8" s="105"/>
      <c r="C8" s="26"/>
      <c r="D8" s="26"/>
      <c r="E8" s="26"/>
      <c r="F8" s="26"/>
      <c r="G8" s="105"/>
      <c r="H8" s="105"/>
      <c r="I8" s="105"/>
      <c r="J8" s="105"/>
      <c r="K8" s="105"/>
      <c r="L8" s="26"/>
      <c r="M8" s="26"/>
      <c r="N8" s="26"/>
      <c r="O8" s="26"/>
      <c r="P8" s="26"/>
    </row>
    <row r="9" spans="1:16">
      <c r="A9" s="124" t="s">
        <v>38</v>
      </c>
      <c r="B9" s="29"/>
      <c r="C9" s="27"/>
      <c r="D9" s="27"/>
      <c r="E9" s="27"/>
      <c r="F9" s="28"/>
      <c r="G9" s="27"/>
      <c r="H9" s="27"/>
      <c r="I9" s="27"/>
      <c r="J9" s="27"/>
      <c r="K9" s="26"/>
      <c r="L9" s="26"/>
      <c r="M9" s="26"/>
      <c r="N9" s="26"/>
      <c r="O9" s="26"/>
      <c r="P9" s="26"/>
    </row>
    <row r="10" spans="1:16" s="78" customFormat="1" ht="36.75" customHeight="1">
      <c r="A10" s="125" t="s">
        <v>114</v>
      </c>
      <c r="B10" s="126">
        <f>2-1</f>
        <v>1</v>
      </c>
      <c r="C10" s="127">
        <v>11728</v>
      </c>
      <c r="D10" s="127">
        <v>12258</v>
      </c>
      <c r="E10" s="127">
        <v>12665</v>
      </c>
      <c r="F10" s="126">
        <v>144323</v>
      </c>
      <c r="G10" s="127"/>
      <c r="H10" s="127">
        <v>0</v>
      </c>
      <c r="I10" s="127">
        <v>7216</v>
      </c>
      <c r="J10" s="127">
        <v>64945</v>
      </c>
      <c r="K10" s="127">
        <v>72161</v>
      </c>
      <c r="L10" s="127">
        <v>11728</v>
      </c>
      <c r="M10" s="127">
        <v>13858</v>
      </c>
      <c r="N10" s="128">
        <f>F10+K10+L10+M10</f>
        <v>242070</v>
      </c>
      <c r="O10" s="128">
        <v>2002</v>
      </c>
      <c r="P10" s="129">
        <f>ROUND(N10/O10,2)</f>
        <v>120.91</v>
      </c>
    </row>
    <row r="11" spans="1:16" s="24" customFormat="1">
      <c r="A11" s="38"/>
      <c r="B11" s="38"/>
      <c r="C11" s="38"/>
      <c r="D11" s="39"/>
      <c r="E11" s="38"/>
      <c r="F11" s="38"/>
      <c r="I11" s="38"/>
      <c r="J11" s="38"/>
      <c r="K11" s="38"/>
      <c r="L11" s="38"/>
      <c r="M11" s="25"/>
      <c r="N11" s="25"/>
      <c r="O11" s="25"/>
    </row>
    <row r="12" spans="1:16" s="24" customFormat="1"/>
    <row r="13" spans="1:16" s="22" customFormat="1"/>
    <row r="14" spans="1:16" s="22" customFormat="1"/>
    <row r="15" spans="1:16" s="22" customFormat="1">
      <c r="C15" s="24"/>
      <c r="D15" s="24"/>
      <c r="E15" s="24"/>
      <c r="I15" s="23"/>
      <c r="J15" s="23"/>
    </row>
    <row r="16" spans="1:16" s="22" customFormat="1" ht="15.75">
      <c r="A16" s="211" t="s">
        <v>36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</row>
    <row r="17" spans="1:16" s="22" customFormat="1">
      <c r="A17" s="45"/>
      <c r="B17" s="45"/>
      <c r="C17" s="49"/>
      <c r="D17" s="49"/>
      <c r="E17" s="49"/>
      <c r="F17" s="45"/>
      <c r="G17" s="45"/>
      <c r="H17" s="45"/>
      <c r="I17" s="46"/>
      <c r="J17" s="46"/>
      <c r="K17" s="45"/>
      <c r="L17" s="45"/>
      <c r="M17" s="45"/>
      <c r="N17" s="45"/>
      <c r="O17" s="45"/>
      <c r="P17" s="45"/>
    </row>
    <row r="18" spans="1:16" s="37" customFormat="1" ht="15.75">
      <c r="A18" s="211" t="s">
        <v>33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</row>
    <row r="19" spans="1:16" s="55" customFormat="1">
      <c r="C19" s="50"/>
      <c r="D19" s="50"/>
      <c r="E19" s="50"/>
    </row>
    <row r="20" spans="1:16" s="55" customFormat="1">
      <c r="C20" s="50"/>
      <c r="D20" s="50"/>
      <c r="E20" s="50"/>
    </row>
    <row r="21" spans="1:16" s="55" customFormat="1">
      <c r="C21" s="50"/>
      <c r="D21" s="50"/>
      <c r="E21" s="50"/>
    </row>
    <row r="22" spans="1:16" s="55" customFormat="1">
      <c r="C22" s="50"/>
      <c r="D22" s="50"/>
      <c r="E22" s="50"/>
    </row>
    <row r="23" spans="1:16" s="55" customFormat="1">
      <c r="C23" s="50"/>
      <c r="D23" s="50"/>
      <c r="E23" s="50"/>
    </row>
    <row r="24" spans="1:16" s="55" customFormat="1">
      <c r="A24" s="55" t="s">
        <v>31</v>
      </c>
      <c r="C24" s="50"/>
      <c r="D24" s="50"/>
      <c r="E24" s="50"/>
    </row>
    <row r="25" spans="1:16" s="55" customFormat="1">
      <c r="A25" s="55" t="s">
        <v>32</v>
      </c>
      <c r="C25" s="50"/>
      <c r="D25" s="50"/>
      <c r="E25" s="50"/>
    </row>
  </sheetData>
  <mergeCells count="21">
    <mergeCell ref="A16:P16"/>
    <mergeCell ref="A18:P18"/>
    <mergeCell ref="C5:C7"/>
    <mergeCell ref="F5:F7"/>
    <mergeCell ref="I5:I7"/>
    <mergeCell ref="K5:K7"/>
    <mergeCell ref="E5:E7"/>
    <mergeCell ref="O4:O7"/>
    <mergeCell ref="L5:L7"/>
    <mergeCell ref="N4:N7"/>
    <mergeCell ref="A2:P2"/>
    <mergeCell ref="A4:A7"/>
    <mergeCell ref="B4:B7"/>
    <mergeCell ref="C4:F4"/>
    <mergeCell ref="G4:K4"/>
    <mergeCell ref="L4:M4"/>
    <mergeCell ref="P4:P7"/>
    <mergeCell ref="D5:D7"/>
    <mergeCell ref="M5:M7"/>
    <mergeCell ref="G5:H6"/>
    <mergeCell ref="J5:J7"/>
  </mergeCells>
  <phoneticPr fontId="28" type="noConversion"/>
  <pageMargins left="0.43" right="0.47" top="0.8" bottom="0.19685039370078741" header="0.31496062992125984" footer="0.19685039370078741"/>
  <pageSetup paperSize="9" scale="94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РозрахТ</vt:lpstr>
      <vt:lpstr>РозрахВ</vt:lpstr>
      <vt:lpstr>1_ВОП</vt:lpstr>
      <vt:lpstr>людгод (сто)</vt:lpstr>
      <vt:lpstr>повіркаТ</vt:lpstr>
      <vt:lpstr>повіркаВ</vt:lpstr>
      <vt:lpstr>монтаж демонт</vt:lpstr>
      <vt:lpstr>транспортув</vt:lpstr>
      <vt:lpstr>людгод (транспортування)</vt:lpstr>
      <vt:lpstr>спецодяг</vt:lpstr>
      <vt:lpstr>'1_ВОП'!Область_печати</vt:lpstr>
      <vt:lpstr>'людгод (сто)'!Область_печати</vt:lpstr>
      <vt:lpstr>'людгод (транспортування)'!Область_печати</vt:lpstr>
      <vt:lpstr>'монтаж демонт'!Область_печати</vt:lpstr>
      <vt:lpstr>повіркаВ!Область_печати</vt:lpstr>
      <vt:lpstr>повіркаТ!Область_печати</vt:lpstr>
      <vt:lpstr>РозрахВ!Область_печати</vt:lpstr>
      <vt:lpstr>РозрахТ!Область_печати</vt:lpstr>
      <vt:lpstr>спецодяг!Область_печати</vt:lpstr>
      <vt:lpstr>транспортув!Область_печати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2020-04-01T13:56:56Z</cp:lastPrinted>
  <dcterms:created xsi:type="dcterms:W3CDTF">2006-09-16T00:00:00Z</dcterms:created>
  <dcterms:modified xsi:type="dcterms:W3CDTF">2020-07-03T13:25:37Z</dcterms:modified>
</cp:coreProperties>
</file>