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0" yWindow="90" windowWidth="28755" windowHeight="12585" activeTab="8"/>
  </bookViews>
  <sheets>
    <sheet name="1" sheetId="28" r:id="rId1"/>
    <sheet name="2" sheetId="29" r:id="rId2"/>
    <sheet name="3" sheetId="4" r:id="rId3"/>
    <sheet name="4" sheetId="5" r:id="rId4"/>
    <sheet name="5" sheetId="30" r:id="rId5"/>
    <sheet name="6" sheetId="31" r:id="rId6"/>
    <sheet name="7" sheetId="32" r:id="rId7"/>
    <sheet name="8" sheetId="33" r:id="rId8"/>
    <sheet name="9" sheetId="34" r:id="rId9"/>
  </sheets>
  <calcPr calcId="162913"/>
</workbook>
</file>

<file path=xl/calcChain.xml><?xml version="1.0" encoding="utf-8"?>
<calcChain xmlns="http://schemas.openxmlformats.org/spreadsheetml/2006/main">
  <c r="J295" i="34" l="1"/>
  <c r="J288" i="34"/>
  <c r="J281" i="34"/>
  <c r="J274" i="34"/>
  <c r="J267" i="34"/>
  <c r="J260" i="34"/>
  <c r="J253" i="34"/>
  <c r="J246" i="34"/>
  <c r="J239" i="34"/>
  <c r="J232" i="34"/>
  <c r="J225" i="34"/>
  <c r="J218" i="34"/>
  <c r="J211" i="34"/>
  <c r="J205" i="34"/>
  <c r="J199" i="34"/>
  <c r="J190" i="34"/>
  <c r="J183" i="34"/>
  <c r="J176" i="34"/>
  <c r="J169" i="34"/>
  <c r="J162" i="34"/>
  <c r="J155" i="34"/>
  <c r="J148" i="34"/>
  <c r="J141" i="34"/>
  <c r="J134" i="34"/>
  <c r="J127" i="34"/>
  <c r="J120" i="34"/>
  <c r="J113" i="34"/>
  <c r="J106" i="34"/>
  <c r="J99" i="34"/>
  <c r="J92" i="34"/>
  <c r="J87" i="34"/>
  <c r="J85" i="34" s="1"/>
  <c r="J78" i="34"/>
  <c r="J71" i="34"/>
  <c r="J64" i="34"/>
  <c r="J57" i="34"/>
  <c r="J50" i="34"/>
  <c r="J43" i="34"/>
  <c r="J36" i="34"/>
  <c r="J29" i="34"/>
  <c r="J22" i="34"/>
  <c r="J15" i="34"/>
  <c r="J8" i="34"/>
  <c r="J117" i="33"/>
  <c r="J112" i="33"/>
  <c r="J111" i="33"/>
  <c r="J109" i="33"/>
  <c r="J107" i="33"/>
  <c r="J105" i="33"/>
  <c r="J104" i="33"/>
  <c r="J103" i="33"/>
  <c r="J101" i="33" s="1"/>
  <c r="J100" i="33"/>
  <c r="J99" i="33"/>
  <c r="J97" i="33" s="1"/>
  <c r="J95" i="33"/>
  <c r="J93" i="33" s="1"/>
  <c r="J92" i="33"/>
  <c r="J91" i="33"/>
  <c r="J89" i="33" s="1"/>
  <c r="J88" i="33"/>
  <c r="J87" i="33"/>
  <c r="J83" i="33"/>
  <c r="J81" i="33" s="1"/>
  <c r="J80" i="33"/>
  <c r="J77" i="33" s="1"/>
  <c r="J76" i="33"/>
  <c r="J75" i="33"/>
  <c r="J73" i="33"/>
  <c r="J72" i="33"/>
  <c r="J71" i="33"/>
  <c r="J69" i="33" s="1"/>
  <c r="J68" i="33"/>
  <c r="J67" i="33"/>
  <c r="J65" i="33" s="1"/>
  <c r="J64" i="33"/>
  <c r="J63" i="33"/>
  <c r="J60" i="33"/>
  <c r="J59" i="33"/>
  <c r="J57" i="33"/>
  <c r="J56" i="33"/>
  <c r="J55" i="33"/>
  <c r="J53" i="33" s="1"/>
  <c r="J52" i="33"/>
  <c r="J49" i="33" s="1"/>
  <c r="J48" i="33"/>
  <c r="J47" i="33"/>
  <c r="J45" i="33"/>
  <c r="J44" i="33"/>
  <c r="J43" i="33"/>
  <c r="J41" i="33" s="1"/>
  <c r="J40" i="33"/>
  <c r="J39" i="33"/>
  <c r="J37" i="33" s="1"/>
  <c r="J33" i="33"/>
  <c r="J29" i="33"/>
  <c r="J25" i="33"/>
  <c r="J21" i="33"/>
  <c r="J17" i="33"/>
  <c r="J15" i="33"/>
  <c r="J13" i="33" s="1"/>
  <c r="J11" i="33"/>
  <c r="J118" i="33" s="1"/>
  <c r="J80" i="32"/>
  <c r="J72" i="32"/>
  <c r="J68" i="32"/>
  <c r="J64" i="32"/>
  <c r="J60" i="32"/>
  <c r="J56" i="32"/>
  <c r="J52" i="32"/>
  <c r="J48" i="32"/>
  <c r="J44" i="32"/>
  <c r="O43" i="32"/>
  <c r="J40" i="32"/>
  <c r="J39" i="32"/>
  <c r="J82" i="32" s="1"/>
  <c r="J32" i="32"/>
  <c r="J28" i="32"/>
  <c r="J26" i="32"/>
  <c r="J24" i="32" s="1"/>
  <c r="J22" i="32"/>
  <c r="J20" i="32" s="1"/>
  <c r="J18" i="32"/>
  <c r="J16" i="32" s="1"/>
  <c r="J14" i="32"/>
  <c r="J12" i="32" s="1"/>
  <c r="J10" i="32"/>
  <c r="J8" i="32" s="1"/>
  <c r="Y112" i="31"/>
  <c r="V112" i="31"/>
  <c r="X111" i="31"/>
  <c r="W111" i="31"/>
  <c r="X110" i="31"/>
  <c r="W110" i="31"/>
  <c r="X109" i="31"/>
  <c r="W109" i="31"/>
  <c r="X108" i="31"/>
  <c r="W108" i="31"/>
  <c r="X107" i="31"/>
  <c r="W107" i="31"/>
  <c r="X106" i="31"/>
  <c r="W106" i="31"/>
  <c r="X105" i="31"/>
  <c r="W105" i="31"/>
  <c r="X104" i="31"/>
  <c r="W104" i="31"/>
  <c r="X103" i="31"/>
  <c r="W103" i="31"/>
  <c r="X102" i="31"/>
  <c r="W102" i="31"/>
  <c r="X101" i="31"/>
  <c r="W101" i="31"/>
  <c r="X100" i="31"/>
  <c r="W100" i="31"/>
  <c r="X99" i="31"/>
  <c r="W99" i="31"/>
  <c r="X98" i="31"/>
  <c r="W98" i="31"/>
  <c r="X97" i="31"/>
  <c r="W97" i="31"/>
  <c r="X96" i="31"/>
  <c r="W96" i="31"/>
  <c r="X95" i="31"/>
  <c r="W95" i="31"/>
  <c r="X94" i="31"/>
  <c r="W94" i="31"/>
  <c r="X93" i="31"/>
  <c r="W93" i="31"/>
  <c r="X92" i="31"/>
  <c r="W92" i="31"/>
  <c r="X91" i="31"/>
  <c r="W91" i="31"/>
  <c r="X90" i="31"/>
  <c r="W90" i="31"/>
  <c r="Z89" i="31"/>
  <c r="W89" i="31"/>
  <c r="W88" i="31"/>
  <c r="Z88" i="31" s="1"/>
  <c r="W87" i="31"/>
  <c r="Z87" i="31" s="1"/>
  <c r="X86" i="31"/>
  <c r="W86" i="31"/>
  <c r="Z86" i="31" s="1"/>
  <c r="W85" i="31"/>
  <c r="Z85" i="31" s="1"/>
  <c r="Z84" i="31"/>
  <c r="W84" i="31"/>
  <c r="X83" i="31"/>
  <c r="W83" i="31"/>
  <c r="X82" i="31"/>
  <c r="W82" i="31"/>
  <c r="X81" i="31"/>
  <c r="W81" i="31"/>
  <c r="W80" i="31"/>
  <c r="Z80" i="31" s="1"/>
  <c r="W79" i="31"/>
  <c r="Z79" i="31" s="1"/>
  <c r="W78" i="31"/>
  <c r="Z78" i="31" s="1"/>
  <c r="X77" i="31"/>
  <c r="W77" i="31"/>
  <c r="X76" i="31"/>
  <c r="W76" i="31"/>
  <c r="X75" i="31"/>
  <c r="W75" i="31"/>
  <c r="X74" i="31"/>
  <c r="W74" i="31"/>
  <c r="X73" i="31"/>
  <c r="W73" i="31"/>
  <c r="X72" i="31"/>
  <c r="W72" i="31"/>
  <c r="X71" i="31"/>
  <c r="W71" i="31"/>
  <c r="X70" i="31"/>
  <c r="W70" i="31"/>
  <c r="X69" i="31"/>
  <c r="W69" i="31"/>
  <c r="X68" i="31"/>
  <c r="W68" i="31"/>
  <c r="X67" i="31"/>
  <c r="W67" i="31"/>
  <c r="X66" i="31"/>
  <c r="W66" i="31"/>
  <c r="X65" i="31"/>
  <c r="W65" i="31"/>
  <c r="X63" i="31"/>
  <c r="W63" i="31"/>
  <c r="X62" i="31"/>
  <c r="W62" i="31"/>
  <c r="X61" i="31"/>
  <c r="W61" i="31"/>
  <c r="X60" i="31"/>
  <c r="W60" i="31"/>
  <c r="X59" i="31"/>
  <c r="W59" i="31"/>
  <c r="X58" i="31"/>
  <c r="W58" i="31"/>
  <c r="X57" i="31"/>
  <c r="W57" i="31"/>
  <c r="X56" i="31"/>
  <c r="W56" i="31"/>
  <c r="X55" i="31"/>
  <c r="W55" i="31"/>
  <c r="X54" i="31"/>
  <c r="W54" i="31"/>
  <c r="X53" i="31"/>
  <c r="W53" i="31"/>
  <c r="X52" i="31"/>
  <c r="W52" i="31"/>
  <c r="X51" i="31"/>
  <c r="W51" i="31"/>
  <c r="X50" i="31"/>
  <c r="W50" i="31"/>
  <c r="X49" i="31"/>
  <c r="W49" i="31"/>
  <c r="Z48" i="31"/>
  <c r="W47" i="31"/>
  <c r="Z47" i="31" s="1"/>
  <c r="Z46" i="31"/>
  <c r="X45" i="31"/>
  <c r="W45" i="31"/>
  <c r="X44" i="31"/>
  <c r="W44" i="31"/>
  <c r="X43" i="31"/>
  <c r="W43" i="31"/>
  <c r="X42" i="31"/>
  <c r="W42" i="31"/>
  <c r="W41" i="31"/>
  <c r="Z41" i="31" s="1"/>
  <c r="X40" i="31"/>
  <c r="W40" i="31"/>
  <c r="Z40" i="31" s="1"/>
  <c r="X39" i="31"/>
  <c r="W39" i="31"/>
  <c r="Z39" i="31" s="1"/>
  <c r="W38" i="31"/>
  <c r="Z38" i="31" s="1"/>
  <c r="X37" i="31"/>
  <c r="W37" i="31"/>
  <c r="Z37" i="31" s="1"/>
  <c r="X36" i="31"/>
  <c r="W36" i="31"/>
  <c r="Z36" i="31" s="1"/>
  <c r="X35" i="31"/>
  <c r="W35" i="31"/>
  <c r="Z35" i="31" s="1"/>
  <c r="X34" i="31"/>
  <c r="W34" i="31"/>
  <c r="Z34" i="31" s="1"/>
  <c r="X33" i="31"/>
  <c r="W33" i="31"/>
  <c r="Z33" i="31" s="1"/>
  <c r="X32" i="31"/>
  <c r="W32" i="31"/>
  <c r="Z32" i="31" s="1"/>
  <c r="X31" i="31"/>
  <c r="W31" i="31"/>
  <c r="Z31" i="31" s="1"/>
  <c r="X30" i="31"/>
  <c r="W30" i="31"/>
  <c r="Z30" i="31" s="1"/>
  <c r="X29" i="31"/>
  <c r="W29" i="31"/>
  <c r="Z29" i="31" s="1"/>
  <c r="X28" i="31"/>
  <c r="W28" i="31"/>
  <c r="Z28" i="31" s="1"/>
  <c r="X27" i="31"/>
  <c r="W27" i="31"/>
  <c r="Z27" i="31" s="1"/>
  <c r="X26" i="31"/>
  <c r="W26" i="31"/>
  <c r="Z26" i="31" s="1"/>
  <c r="X25" i="31"/>
  <c r="W25" i="31"/>
  <c r="Z25" i="31" s="1"/>
  <c r="X24" i="31"/>
  <c r="W24" i="31"/>
  <c r="Z24" i="31" s="1"/>
  <c r="X23" i="31"/>
  <c r="W23" i="31"/>
  <c r="Z23" i="31" s="1"/>
  <c r="X22" i="31"/>
  <c r="W22" i="31"/>
  <c r="Z22" i="31" s="1"/>
  <c r="X21" i="31"/>
  <c r="W21" i="31"/>
  <c r="Z21" i="31" s="1"/>
  <c r="X20" i="31"/>
  <c r="W20" i="31"/>
  <c r="Z20" i="31" s="1"/>
  <c r="X19" i="31"/>
  <c r="W19" i="31"/>
  <c r="Z19" i="31" s="1"/>
  <c r="X18" i="31"/>
  <c r="W18" i="31"/>
  <c r="Z18" i="31" s="1"/>
  <c r="X17" i="31"/>
  <c r="W17" i="31"/>
  <c r="Z17" i="31" s="1"/>
  <c r="W16" i="31"/>
  <c r="Z16" i="31" s="1"/>
  <c r="W15" i="31"/>
  <c r="Z15" i="31" s="1"/>
  <c r="W14" i="31"/>
  <c r="Z14" i="31" s="1"/>
  <c r="X13" i="31"/>
  <c r="W13" i="31"/>
  <c r="X12" i="31"/>
  <c r="W12" i="31"/>
  <c r="Z11" i="31"/>
  <c r="W11" i="31"/>
  <c r="N11" i="31"/>
  <c r="N12" i="31" s="1"/>
  <c r="N13" i="31" s="1"/>
  <c r="N14" i="31" s="1"/>
  <c r="N15" i="31" s="1"/>
  <c r="N16" i="31" s="1"/>
  <c r="N17" i="31" s="1"/>
  <c r="N18" i="31" s="1"/>
  <c r="N19" i="31" s="1"/>
  <c r="N20" i="31" s="1"/>
  <c r="N21" i="31" s="1"/>
  <c r="N22" i="31" s="1"/>
  <c r="N23" i="31" s="1"/>
  <c r="N24" i="31" s="1"/>
  <c r="N25" i="31" s="1"/>
  <c r="N26" i="31" s="1"/>
  <c r="N27" i="31" s="1"/>
  <c r="N28" i="31" s="1"/>
  <c r="N29" i="31" s="1"/>
  <c r="N30" i="31" s="1"/>
  <c r="N31" i="31" s="1"/>
  <c r="N32" i="31" s="1"/>
  <c r="N33" i="31" s="1"/>
  <c r="N34" i="31" s="1"/>
  <c r="N35" i="31" s="1"/>
  <c r="N36" i="31" s="1"/>
  <c r="N37" i="31" s="1"/>
  <c r="N38" i="31" s="1"/>
  <c r="N39" i="31" s="1"/>
  <c r="N40" i="31" s="1"/>
  <c r="N41" i="31" s="1"/>
  <c r="N42" i="31" s="1"/>
  <c r="N43" i="31" s="1"/>
  <c r="N44" i="31" s="1"/>
  <c r="N45" i="31" s="1"/>
  <c r="N46" i="31" s="1"/>
  <c r="N47" i="31" s="1"/>
  <c r="N48" i="31" s="1"/>
  <c r="N49" i="31" s="1"/>
  <c r="N50" i="31" s="1"/>
  <c r="N51" i="31" s="1"/>
  <c r="N52" i="31" s="1"/>
  <c r="N53" i="31" s="1"/>
  <c r="N54" i="31" s="1"/>
  <c r="N55" i="31" s="1"/>
  <c r="N56" i="31" s="1"/>
  <c r="N57" i="31" s="1"/>
  <c r="N58" i="31" s="1"/>
  <c r="N59" i="31" s="1"/>
  <c r="N60" i="31" s="1"/>
  <c r="N61" i="31" s="1"/>
  <c r="N62" i="31" s="1"/>
  <c r="N63" i="31" s="1"/>
  <c r="N64" i="31" s="1"/>
  <c r="N65" i="31" s="1"/>
  <c r="N66" i="31" s="1"/>
  <c r="N67" i="31" s="1"/>
  <c r="N68" i="31" s="1"/>
  <c r="N69" i="31" s="1"/>
  <c r="N70" i="31" s="1"/>
  <c r="N71" i="31" s="1"/>
  <c r="N72" i="31" s="1"/>
  <c r="N73" i="31" s="1"/>
  <c r="N74" i="31" s="1"/>
  <c r="N75" i="31" s="1"/>
  <c r="N76" i="31" s="1"/>
  <c r="N77" i="31" s="1"/>
  <c r="N78" i="31" s="1"/>
  <c r="N79" i="31" s="1"/>
  <c r="N80" i="31" s="1"/>
  <c r="N81" i="31" s="1"/>
  <c r="N82" i="31" s="1"/>
  <c r="N83" i="31" s="1"/>
  <c r="N84" i="31" s="1"/>
  <c r="N85" i="31" s="1"/>
  <c r="N86" i="31" s="1"/>
  <c r="N87" i="31" s="1"/>
  <c r="N88" i="31" s="1"/>
  <c r="N89" i="31" s="1"/>
  <c r="N90" i="31" s="1"/>
  <c r="N91" i="31" s="1"/>
  <c r="N92" i="31" s="1"/>
  <c r="N93" i="31" s="1"/>
  <c r="N94" i="31" s="1"/>
  <c r="N95" i="31" s="1"/>
  <c r="N96" i="31" s="1"/>
  <c r="N97" i="31" s="1"/>
  <c r="N98" i="31" s="1"/>
  <c r="N99" i="31" s="1"/>
  <c r="N100" i="31" s="1"/>
  <c r="N101" i="31" s="1"/>
  <c r="N102" i="31" s="1"/>
  <c r="N103" i="31" s="1"/>
  <c r="N104" i="31" s="1"/>
  <c r="N105" i="31" s="1"/>
  <c r="N106" i="31" s="1"/>
  <c r="N107" i="31" s="1"/>
  <c r="N108" i="31" s="1"/>
  <c r="N109" i="31" s="1"/>
  <c r="N110" i="31" s="1"/>
  <c r="N111" i="31" s="1"/>
  <c r="X10" i="31"/>
  <c r="W10" i="31"/>
  <c r="W112" i="31" s="1"/>
  <c r="J11" i="30"/>
  <c r="A9" i="30"/>
  <c r="A10" i="30" s="1"/>
  <c r="J14" i="29"/>
  <c r="A10" i="29"/>
  <c r="A11" i="29" s="1"/>
  <c r="A12" i="29" s="1"/>
  <c r="A13" i="29" s="1"/>
  <c r="J11" i="28"/>
  <c r="P92" i="33" l="1"/>
  <c r="X112" i="31"/>
  <c r="Z12" i="31"/>
  <c r="Z13" i="31"/>
  <c r="Z42" i="31"/>
  <c r="Z43" i="31"/>
  <c r="Z44" i="31"/>
  <c r="Z45" i="31"/>
  <c r="Z49" i="31"/>
  <c r="Z50" i="31"/>
  <c r="Z51" i="31"/>
  <c r="Z52" i="31"/>
  <c r="Z53" i="31"/>
  <c r="Z54" i="31"/>
  <c r="Z55" i="31"/>
  <c r="Z56" i="31"/>
  <c r="Z57" i="31"/>
  <c r="Z58" i="31"/>
  <c r="Z59" i="31"/>
  <c r="Z60" i="31"/>
  <c r="Z61" i="31"/>
  <c r="Z62" i="31"/>
  <c r="Z63" i="31"/>
  <c r="Z65" i="31"/>
  <c r="Z66" i="31"/>
  <c r="Z67" i="31"/>
  <c r="Z68" i="31"/>
  <c r="Z69" i="31"/>
  <c r="Z70" i="31"/>
  <c r="Z71" i="31"/>
  <c r="Z72" i="31"/>
  <c r="Z73" i="31"/>
  <c r="Z74" i="31"/>
  <c r="Z75" i="31"/>
  <c r="Z76" i="31"/>
  <c r="Z77" i="31"/>
  <c r="Z81" i="31"/>
  <c r="Z82" i="31"/>
  <c r="Z83" i="31"/>
  <c r="Z90" i="31"/>
  <c r="Z91" i="31"/>
  <c r="Z92" i="31"/>
  <c r="Z93" i="31"/>
  <c r="Z94" i="31"/>
  <c r="Z95" i="31"/>
  <c r="Z96" i="31"/>
  <c r="Z97" i="31"/>
  <c r="Z98" i="31"/>
  <c r="Z99" i="31"/>
  <c r="Z100" i="31"/>
  <c r="Z101" i="31"/>
  <c r="Z102" i="31"/>
  <c r="Z103" i="31"/>
  <c r="Z104" i="31"/>
  <c r="Z105" i="31"/>
  <c r="Z106" i="31"/>
  <c r="Z107" i="31"/>
  <c r="Z108" i="31"/>
  <c r="Z109" i="31"/>
  <c r="Z110" i="31"/>
  <c r="Z111" i="31"/>
  <c r="J119" i="33"/>
  <c r="J61" i="33"/>
  <c r="P91" i="33"/>
  <c r="Q221" i="34"/>
  <c r="J307" i="34"/>
  <c r="J306" i="34"/>
  <c r="J308" i="34" s="1"/>
  <c r="Q220" i="34"/>
  <c r="Q219" i="34"/>
  <c r="J120" i="33"/>
  <c r="J9" i="33"/>
  <c r="J113" i="33" s="1"/>
  <c r="J85" i="33"/>
  <c r="O41" i="32"/>
  <c r="O44" i="32" s="1"/>
  <c r="J81" i="32"/>
  <c r="J83" i="32" s="1"/>
  <c r="J36" i="32"/>
  <c r="J76" i="32" s="1"/>
  <c r="O42" i="32"/>
  <c r="Z10" i="31"/>
  <c r="Z112" i="31" s="1"/>
  <c r="P93" i="33" l="1"/>
  <c r="J302" i="34"/>
  <c r="Q222" i="34"/>
  <c r="J12" i="5" l="1"/>
  <c r="J13" i="4" l="1"/>
</calcChain>
</file>

<file path=xl/sharedStrings.xml><?xml version="1.0" encoding="utf-8"?>
<sst xmlns="http://schemas.openxmlformats.org/spreadsheetml/2006/main" count="684" uniqueCount="244">
  <si>
    <t>Перелік об'єктів по яких проведені роботи з капітального ремонту індивідуального теплового пункту (ІТП) та трубопроводу холодного водопостачання (встановлення приладів обліку) у житлових будинках</t>
  </si>
  <si>
    <t>№ п/п</t>
  </si>
  <si>
    <t>Найменування об'єкту</t>
  </si>
  <si>
    <t>Технічний нагляд за 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</si>
  <si>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Участь у роботі комісії з введення в експлуатацію комерційного вузла обліку тепла (та холодного водопостачання)</t>
  </si>
  <si>
    <t>ВСЬОГО</t>
  </si>
  <si>
    <t>Кошти на здійснення авторського нагляду</t>
  </si>
  <si>
    <t>Технічний нагляд</t>
  </si>
  <si>
    <t>Виготовлення проектно-кошторисної документації з одержанням висновку державної експертизи</t>
  </si>
  <si>
    <t>всього на суму, грн</t>
  </si>
  <si>
    <t>Капітальний ремонт обєкту захисної споруди цивільного захисту (цивільної оборони) протирадіаційного укриття №64383 за адресою: м-н Вараш 3, м.Вараш, Рівненської області</t>
  </si>
  <si>
    <t>Додаток</t>
  </si>
  <si>
    <t>Капітальний ремонт асфальтнобетонного покриття вулиці Енергетиків в м.Вараш(Кузнецовськ) Рівненської області</t>
  </si>
  <si>
    <t>Експертиза проектно-кошторисної документації</t>
  </si>
  <si>
    <t>Виготовлення проектно-кошторисної документації на капітальний ремонт покрівлі будинку для обслуговування жителів  с.Заболоття по вул.Соборна,10 а, Вараської міської ради, Рівненської області (адміністративний будинок)</t>
  </si>
  <si>
    <t>Капітальний ремонт покрівлі будинку для обслуговування жителів  с.Заболоття по вул.Соборна,10а, Вараської міської ради, Рівненської області (адміністративний будинок)</t>
  </si>
  <si>
    <t>технічний нагляд</t>
  </si>
  <si>
    <t>Коригування проектно-кошторисної документації на капітальний ремонт асфальтнобетонного покриття по вул.Енергетиків в м.Вараш(Кузнецовськ) Рівненської області</t>
  </si>
  <si>
    <t>Проектно-кошторисна документація по кап.ремонту дороги по вул.Енергетиків</t>
  </si>
  <si>
    <t>Капітальний ремонт</t>
  </si>
  <si>
    <t>Виготовлення проектно-кошторисної документації</t>
  </si>
  <si>
    <t>Всього по м-н Будівельників будинок №4/1 в т.ч:</t>
  </si>
  <si>
    <t>Всього по м-н Вараш будинок №42 в т.ч:</t>
  </si>
  <si>
    <t>Всього по м-н Будівельників будинок №24/2 в т.ч:</t>
  </si>
  <si>
    <t>Всього по м-н Вараш будинок №40 в т.ч:</t>
  </si>
  <si>
    <t>Всього по м-н Перемоги будинок №9А в т.ч:</t>
  </si>
  <si>
    <t>Всього по м-н Перемоги будинок №9Б в т.ч:</t>
  </si>
  <si>
    <t>Всього по м-н Будівельників будинок №2 в т.ч:</t>
  </si>
  <si>
    <t>Всього по м-н Будівельників будинок №3 в т.ч:</t>
  </si>
  <si>
    <t>Всього по м-н Будівельників будинок №7А в т.ч:</t>
  </si>
  <si>
    <t>Всього по м-н Будівельників будинок №7Б в т.ч:</t>
  </si>
  <si>
    <t>Всього по м-н Будівельників будинок №12/1 в т.ч:</t>
  </si>
  <si>
    <t>Всього по м-н Вараш будинок №4 в т.ч:</t>
  </si>
  <si>
    <t>Всього по м-н Вараш будинок №26В в т.ч:</t>
  </si>
  <si>
    <t>Всього по м-н Вараш будинок №28А в т.ч:</t>
  </si>
  <si>
    <t>Всього по м-н Вараш будинок №26А в т.ч:</t>
  </si>
  <si>
    <t>Всього по м-н Вараш будинок №34А в т.ч:</t>
  </si>
  <si>
    <t>Всього по м-н Перемоги будинок №2 в т.ч:</t>
  </si>
  <si>
    <t>Всього по м-н Перемоги будинок №18 в т.ч:</t>
  </si>
  <si>
    <t>Всього по м-н Будівельників будинок №9/2 в т.ч:</t>
  </si>
  <si>
    <t>Всього по м-н Перемоги будинок №32Б в т.ч:</t>
  </si>
  <si>
    <t>Всього по м-н Будівельників будинок №8/1 в т.ч:</t>
  </si>
  <si>
    <t>Всього по м-н Будівельників будинок №15/2 в т.ч:</t>
  </si>
  <si>
    <t>Всього по м-н Будівельників будинок №1 в т.ч:</t>
  </si>
  <si>
    <t>Всього по м-н Енергетиків будинок №11 в т.ч:</t>
  </si>
  <si>
    <t>Всього по м-н Вараш будинок №44 в т.ч:</t>
  </si>
  <si>
    <t>Всього по м-н Перемоги будинок №15 в т.ч:</t>
  </si>
  <si>
    <t xml:space="preserve">всього </t>
  </si>
  <si>
    <t>ВСЬОГО ВИТРАТИ НА КАПІТАЛЬНИЙ РЕМОНТ ПОКРІВЛІ ЖИТЛОВИХ БУДИНКІВ</t>
  </si>
  <si>
    <t>Всього по м-н Будівельників будинок №9/1 в т.ч:</t>
  </si>
  <si>
    <t>Всього по м-н Будівельників будинок №9/3 в т.ч:</t>
  </si>
  <si>
    <t>Всього по м-н Будівельників будинок №9/4 в т.ч:</t>
  </si>
  <si>
    <t>Всього по м-н Вараш будинок №19 в т.ч:</t>
  </si>
  <si>
    <t>Всього по м-н Будівельників будинок №22/1 в т.ч:</t>
  </si>
  <si>
    <t>Всього по м-н Вараш будинок №18 в т.ч:</t>
  </si>
  <si>
    <t>Всього по м-н Перемоги будинок №17 в т.ч:</t>
  </si>
  <si>
    <t>Виконані роботи по капітальному ремонту ліфтів житлових будинків</t>
  </si>
  <si>
    <t>Експертне обстеження</t>
  </si>
  <si>
    <t>Позачерговий технічний нагляд</t>
  </si>
  <si>
    <t xml:space="preserve">Капітальний ремонт </t>
  </si>
  <si>
    <t>Проектно-кошторисна документація</t>
  </si>
  <si>
    <t>Всього по м-н Будівельників будинок №17 в т.ч:</t>
  </si>
  <si>
    <t>на 06.08.2020</t>
  </si>
  <si>
    <t>Всього по м-н Будівельників №1 підїзд №1,2 в т.ч:</t>
  </si>
  <si>
    <t>Всього по м-н Будівельників №3 підїзд №2 в т.ч:</t>
  </si>
  <si>
    <t>Всього по м-н Будівельників №35 підїзд №1,2 в т.ч:</t>
  </si>
  <si>
    <t>Всього по м-н Будівельників №36 підїзд №2 в т.ч:</t>
  </si>
  <si>
    <t>Всього по м-н Будівельників №37 підїзд №1,2 в т.ч:</t>
  </si>
  <si>
    <t>Всього по м-н Перемоги №7 підїзд №1 в т.ч:</t>
  </si>
  <si>
    <t>Всього по м-н Перемоги №42 підїзд №2 в т.ч:</t>
  </si>
  <si>
    <t>Всього по м-н Перемоги №45Б підїзд №2 в т.ч:</t>
  </si>
  <si>
    <t>Всього по м-н Вараш №6 підїзд №1,2,3 в т.ч:</t>
  </si>
  <si>
    <t>Всього по м-н Вараш №8 підїзд №1,2 в т.ч:</t>
  </si>
  <si>
    <t>Всього по м-н Вараш №10Б підїзд №1,2,3 в т.ч:</t>
  </si>
  <si>
    <t>Всього по м-н Будівельників №21 підїзд №1,4 в т.ч:</t>
  </si>
  <si>
    <t>Всього по м-н Будівельників №29/2 підїзд №1,2 в т.ч:</t>
  </si>
  <si>
    <t>Всього по м-н Вараш №13 підїзд №1,3 в т.ч:</t>
  </si>
  <si>
    <t>Всього по м-н Вараш №17 підїзд №1,2,3,4 в т.ч:</t>
  </si>
  <si>
    <t>Всього по м-н Вараш №16 підїзд №1,2,3,4 в т.ч:</t>
  </si>
  <si>
    <t>Всього по м-н Вараш №42 підїзд №1 в т.ч:</t>
  </si>
  <si>
    <t>Всього по м-н Перемоги №12Г підїзд №1,2 в т.ч:</t>
  </si>
  <si>
    <t>Всього по м-н Вараш №18 підїзд №1,2,3 в т.ч:</t>
  </si>
  <si>
    <t>Всього по м-н Вараш №42 підїзд №2 в т.ч:</t>
  </si>
  <si>
    <t>Всього по м-н Вараш №7 підїзд №1,2,3 в т.ч:</t>
  </si>
  <si>
    <t>Всього по м-н Перемоги №37Б в т.ч:</t>
  </si>
  <si>
    <t>Всього по м-н Вараш №27 підїзд №1,2 в т.ч:</t>
  </si>
  <si>
    <t>Всього по м-н Перемоги №22 підїзд №1 в т.ч:</t>
  </si>
  <si>
    <t>ВСЬОГО ВИТРАТИ НА КАПІТАЛЬНИЙ РЕМОНТ,КАПІТАЛЬНИЙ РЕМОНТ (МОДЕРНІЗАЦІЯ) ЛІФТІВ</t>
  </si>
  <si>
    <t>Всього по м-н Будівельників будинок №12/2 в т.ч:</t>
  </si>
  <si>
    <t>Всього по м-н Будівельників будинок №27/2 в т.ч:</t>
  </si>
  <si>
    <t>Всього по м-н Будівельників будинок №27/1 в т.ч:</t>
  </si>
  <si>
    <t>Всього по м-н Вараш будинок №28 в т.ч:</t>
  </si>
  <si>
    <t>Всього по м-н Вараш будинок №45Б в т.ч:</t>
  </si>
  <si>
    <t>Всього по м-н Ювілейний №3 підїзд №1,2 в т.ч:</t>
  </si>
  <si>
    <t>Всього по м-н Вараш №10А підїзд №1,2 в т.ч:</t>
  </si>
  <si>
    <t>Всього по м-н Перемоги №33А підїзд №2 в т.ч:</t>
  </si>
  <si>
    <t>Всього по м-н Перемоги №33Б підїзд №1,2 в т.ч:</t>
  </si>
  <si>
    <t>Всього по м-н Вараш №14 підїзд №1,2,3 в т.ч:</t>
  </si>
  <si>
    <t>Всього по м-н Будівельників №34 підїзд №1,2 в т.ч:</t>
  </si>
  <si>
    <t>Всього по м-н Будівельників №21 підїзд №2,3 в т.ч:</t>
  </si>
  <si>
    <t>Всього по м-н Вараш №13 підїзд №2 в т.ч:</t>
  </si>
  <si>
    <t>Всього по м-н Вараш №44 підїзд №1,2 в т.ч:</t>
  </si>
  <si>
    <t>Всього по м-н Вараш №32Б підїзд №1,2 в т.ч:</t>
  </si>
  <si>
    <t>Всього по м-н Вараш №32В підїзд №1,2 в т.ч:</t>
  </si>
  <si>
    <t>Всього по м-н Перемоги №11 підїзд №1 в т.ч:</t>
  </si>
  <si>
    <t>Виготовлення проектно-кошторисної документації з експертизою</t>
  </si>
  <si>
    <t>Всього по м-н Будівельників №38 підїзд №1,2,3 в т.ч:</t>
  </si>
  <si>
    <t>Всього по м-н Вараш №19 підїзд №1,2,3,4,5 в т.ч:</t>
  </si>
  <si>
    <t>Всього по м-н Вараш №4 підїзд №2 в т.ч:</t>
  </si>
  <si>
    <t>Всього по м-н Вараш №20 підїзд №1,2 в т.ч:</t>
  </si>
  <si>
    <t>Всього по м-н Вараш №4 підїзд №1 в т.ч:</t>
  </si>
  <si>
    <t xml:space="preserve">Виготовлення проектно-кошторисної документації </t>
  </si>
  <si>
    <t>Всього по м-н Будівельників №26 підїзд №1,2 в т.ч:</t>
  </si>
  <si>
    <t xml:space="preserve">Робочий проект по кап.ремонту «Берегоукріплення річки Стир </t>
  </si>
  <si>
    <t xml:space="preserve">Проект «Полігон твердих побутових відходів м.Кузнецовськ» (будівництво) </t>
  </si>
  <si>
    <t xml:space="preserve">ВСЬОГО </t>
  </si>
  <si>
    <t>Проект.-кош.док. по кап.рем.дор. по вул.Парковій</t>
  </si>
  <si>
    <t xml:space="preserve">Проектна док-ція по кап.ремонту вулиці Набережна </t>
  </si>
  <si>
    <t xml:space="preserve">Проектна документація по кап.ремонту вул.Соборна </t>
  </si>
  <si>
    <t>Проектно-кошторисна документація (списання)</t>
  </si>
  <si>
    <t>Виконані роботи по капітальному ремонту(модернізація) ліфтів житлових будинків</t>
  </si>
  <si>
    <t xml:space="preserve">Виконані роботи по капітальному ремонту покрівель  житлових будинків </t>
  </si>
  <si>
    <t xml:space="preserve">Виконані роботи по капітальному ремонту міжпанельних швів  житлових будинків в м.Вараш Рівненської області </t>
  </si>
  <si>
    <t xml:space="preserve">Виконані роботи по капітальному ремонту покриття (заміна покрівельного килима ) Дошкільного навчального закладу (ясла-садок) комбінованого типу №7 Вараської міської ради Рівненської області за адресою : Рівненська область, м.Вараш, вул.Енергетиків,33   </t>
  </si>
  <si>
    <t>Виконані роботи по капітальному ремонту об'єкту захисної споруди цивільного захисту (цивільної оборони) протирадіоційного укриття №64383 за адресою:м-н Вараш,3, м.Вараш, Рівненської області</t>
  </si>
  <si>
    <t xml:space="preserve">Виконані роботи по капітальному ремонту асфальтнобетонного покриття вулиці Енергетиків в м.Вараш(Кузнецовськ) Рівненської області                                     </t>
  </si>
  <si>
    <t xml:space="preserve">Виконані роботи на капітальний ремонт покрівлі будинку для обслуговування жителів  с.Заболоття по вул.Соборна,10а, Вараської міської ради, Рівненської області (адміністративний будинок)                                                      </t>
  </si>
  <si>
    <t>модернізація</t>
  </si>
  <si>
    <t>кап.ремонт</t>
  </si>
  <si>
    <t>Секретар міської ради                                                                     Генадій ДЕРЕВ'ЯНЧУК</t>
  </si>
  <si>
    <t>до рішення міської ради</t>
  </si>
  <si>
    <t>№п/п</t>
  </si>
  <si>
    <t>Виготовлення проектно-кошторисної документації на 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</si>
  <si>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</si>
  <si>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Всього на суму, грн</t>
  </si>
  <si>
    <t xml:space="preserve"> ж/б №6 м-н Перемоги</t>
  </si>
  <si>
    <t xml:space="preserve"> ж/б №7 м-н Перемоги</t>
  </si>
  <si>
    <t xml:space="preserve"> ж/б №9А м-н Перемоги</t>
  </si>
  <si>
    <t>ж/б №9Б м-н Перемоги</t>
  </si>
  <si>
    <t xml:space="preserve"> ж/б №5 м-н Вараш</t>
  </si>
  <si>
    <t xml:space="preserve"> ж/б №6 м-н Вараш</t>
  </si>
  <si>
    <t xml:space="preserve"> ж/б №27 м-н Вараш</t>
  </si>
  <si>
    <t xml:space="preserve"> ж/б №28 м-н Вараш</t>
  </si>
  <si>
    <t>ж/б №4/2 м-н Будівельників</t>
  </si>
  <si>
    <t>ж/б №4/3 м-н Будівельників</t>
  </si>
  <si>
    <t>ж/б №4/4 м-н Будівельників</t>
  </si>
  <si>
    <t>ж/б №5/2 м-н Будівельників</t>
  </si>
  <si>
    <t>ж/б №5/3 м-н Будівельників</t>
  </si>
  <si>
    <t>ж/б №8/2 м-н Будівельників</t>
  </si>
  <si>
    <t>ж/б №9/1 м-н Будівельників</t>
  </si>
  <si>
    <t>ж/б №9/2 м-н Будівельників</t>
  </si>
  <si>
    <t>ж/б №9/3 м-н Будівельників</t>
  </si>
  <si>
    <t>ж/б №9/4 м-н Будівельників</t>
  </si>
  <si>
    <t>ж/б №10/1 м-н Будівельників</t>
  </si>
  <si>
    <t>ж/б №14/1 м-н Будівельників</t>
  </si>
  <si>
    <t>ж/б №14/2 м-н Будівельників</t>
  </si>
  <si>
    <t>ж/б №15/1 м-н Будівельників</t>
  </si>
  <si>
    <t>ж/б №15/2 м-н Будівельників</t>
  </si>
  <si>
    <t>ж/б №16/1 м-н Будівельників</t>
  </si>
  <si>
    <t>ж/б №16/2 м-н Будівельників</t>
  </si>
  <si>
    <t>ж/б №19/1 м-н Будівельників</t>
  </si>
  <si>
    <t>ж/б №19/2 м-н Будівельників</t>
  </si>
  <si>
    <t>ж/б №22/1 м-н Будівельників</t>
  </si>
  <si>
    <t>ж/б №22/2 м-н Будівельників</t>
  </si>
  <si>
    <t>ж/б №24/1 м-н Будівельників</t>
  </si>
  <si>
    <t>ж/б №24/3 м-н Будівельників</t>
  </si>
  <si>
    <t>ж/б №30/1 м-н Будівельників</t>
  </si>
  <si>
    <t>ж/б №31/2 м-н Будівельників</t>
  </si>
  <si>
    <t>ж/б №31/3 м-н Будівельників</t>
  </si>
  <si>
    <t>ж/б №32/2 м-н Будівельників</t>
  </si>
  <si>
    <t>ж/б №33/2 м-н Будівельників</t>
  </si>
  <si>
    <t>ж/б №33А м-н Будівельників</t>
  </si>
  <si>
    <t>ж/б №33Б м-н Будівельників</t>
  </si>
  <si>
    <t>ж/б №1 вул.Кібенка</t>
  </si>
  <si>
    <t>ж/б №15 вул. Енергетиків</t>
  </si>
  <si>
    <t xml:space="preserve"> ж/б №2 м-н Перемоги</t>
  </si>
  <si>
    <t>ж/б №10 м-н Перемоги</t>
  </si>
  <si>
    <t>ж/б №12Б м-н Перемоги</t>
  </si>
  <si>
    <t>ж/б №12В м-н Перемоги</t>
  </si>
  <si>
    <t>ж/б №12Г м-н Перемоги</t>
  </si>
  <si>
    <t xml:space="preserve"> ж/б №15 м-н Перемоги</t>
  </si>
  <si>
    <t>ж/б №16 м-н Перемоги</t>
  </si>
  <si>
    <t xml:space="preserve"> ж/б №17 м-н Перемоги </t>
  </si>
  <si>
    <t>ж/б №22 м-н Перемоги</t>
  </si>
  <si>
    <t>ж/б №25 м-н Перемоги</t>
  </si>
  <si>
    <t>ж/б №37 м-н Перемоги</t>
  </si>
  <si>
    <t>ж/б №40 м-н Перемоги</t>
  </si>
  <si>
    <t xml:space="preserve"> ж/б №41 м-н Перемоги </t>
  </si>
  <si>
    <t>ж/б №48 м-н Перемоги</t>
  </si>
  <si>
    <t>ж/б №48А м-н Перемоги</t>
  </si>
  <si>
    <t>ж/б №49А м-н Перемоги</t>
  </si>
  <si>
    <t xml:space="preserve"> ж/б №50 м-н Перемоги</t>
  </si>
  <si>
    <t>ж/б №50А м-н Перемоги</t>
  </si>
  <si>
    <t xml:space="preserve"> ж/б №3 м-н Ювілений</t>
  </si>
  <si>
    <t xml:space="preserve"> ж/б №4 м-н Вараш</t>
  </si>
  <si>
    <t xml:space="preserve"> ж/б №8 м-н Вараш</t>
  </si>
  <si>
    <t xml:space="preserve"> ж/б №10А м-н Вараш</t>
  </si>
  <si>
    <t xml:space="preserve"> ж/б №12 м-н Вараш</t>
  </si>
  <si>
    <t xml:space="preserve"> ж/б №20 м-н Вараш</t>
  </si>
  <si>
    <t xml:space="preserve"> ж/б №22 м-н Вараш</t>
  </si>
  <si>
    <t xml:space="preserve"> ж/б №23 м-н Вараш</t>
  </si>
  <si>
    <t xml:space="preserve"> ж/б №24А м-н Вараш</t>
  </si>
  <si>
    <t xml:space="preserve"> ж/б №25 м-н Вараш</t>
  </si>
  <si>
    <t xml:space="preserve"> ж/б №26А м-н Вараш</t>
  </si>
  <si>
    <t xml:space="preserve"> ж/б №26Б м-н Вараш</t>
  </si>
  <si>
    <t xml:space="preserve"> ж/б №26В м-н Вараш</t>
  </si>
  <si>
    <t xml:space="preserve"> ж/б №28А м-н Вараш</t>
  </si>
  <si>
    <t xml:space="preserve"> ж/б №34Б м-н Вараш</t>
  </si>
  <si>
    <t>ж/б №4/1 м-н Будівельників</t>
  </si>
  <si>
    <t>ж/б №7А м-н Будівельників</t>
  </si>
  <si>
    <t>ж/б №7Б м-н Будівельників</t>
  </si>
  <si>
    <t>ж/б №8/1 м-н Будівельників</t>
  </si>
  <si>
    <t>ж/б №10/2 м-н Будівельників</t>
  </si>
  <si>
    <t>ж/б №20/1 м-н Будівельників</t>
  </si>
  <si>
    <t>ж/б №20/2 м-н Будівельників</t>
  </si>
  <si>
    <t>ж/б №24/2 м-н Будівельників</t>
  </si>
  <si>
    <t>ж/б №24/4 м-н Будівельників</t>
  </si>
  <si>
    <t>ж/б №25/1 м-н Будівельників</t>
  </si>
  <si>
    <t>ж/б №25/2 м-н Будівельників</t>
  </si>
  <si>
    <t>ж/б №30/2 м-н Будівельників</t>
  </si>
  <si>
    <t>ж/б №31/1 м-н Будівельників</t>
  </si>
  <si>
    <t>ж/б №32/1 м-н Будівельників</t>
  </si>
  <si>
    <t>ж/б №33/1 м-н Будівельників</t>
  </si>
  <si>
    <t>ж/б №33/3 м-н Будівельників</t>
  </si>
  <si>
    <t>ж/б №37 м-н Будівельників</t>
  </si>
  <si>
    <t xml:space="preserve"> ж/б №4 м-н Перемоги</t>
  </si>
  <si>
    <t xml:space="preserve"> ж/б №18 м-н Перемоги </t>
  </si>
  <si>
    <t>ж/б №49 м-н Перемоги</t>
  </si>
  <si>
    <t>ж/б №51 м-н Перемоги</t>
  </si>
  <si>
    <t>ж/б №51А м-н Перемоги</t>
  </si>
  <si>
    <t xml:space="preserve"> ж/б №7 м-н Вараш</t>
  </si>
  <si>
    <t xml:space="preserve"> ж/б №10Б м-н Вараш</t>
  </si>
  <si>
    <t xml:space="preserve"> ж/б №14 м-н Вараш</t>
  </si>
  <si>
    <t xml:space="preserve"> ж/б №18 м-н Вараш</t>
  </si>
  <si>
    <t>ж/б №24Б м-н Вараш</t>
  </si>
  <si>
    <t xml:space="preserve"> ж/б №34А м-н Вараш</t>
  </si>
  <si>
    <t xml:space="preserve"> ж/б №45Б м-н Вараш</t>
  </si>
  <si>
    <t>Всього</t>
  </si>
  <si>
    <t>Секретар міської ради                                                                             Генадій ДЕРЕВ'ЯНЧУК</t>
  </si>
  <si>
    <t>28 травня 2021 року №419</t>
  </si>
  <si>
    <t>28 травня 2021 року 2021 №419</t>
  </si>
  <si>
    <t xml:space="preserve"> 28 травня  2021 №419</t>
  </si>
  <si>
    <t>28 травня 2021 №419</t>
  </si>
  <si>
    <t xml:space="preserve">  28 травня 2021 №419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</si>
</sst>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9">
    <xf numFmtId="0" fontId="0" fillId="0" borderId="0" xfId="0"/>
    <xf numFmtId="4" fontId="0" fillId="0" borderId="0" xfId="0" applyNumberFormat="1"/>
    <xf numFmtId="0" fontId="9" fillId="0" borderId="0" xfId="0" applyFont="1"/>
    <xf numFmtId="0" fontId="8" fillId="0" borderId="0" xfId="0" applyFont="1"/>
    <xf numFmtId="2" fontId="0" fillId="0" borderId="0" xfId="0" applyNumberFormat="1"/>
    <xf numFmtId="0" fontId="10" fillId="0" borderId="0" xfId="0" applyFont="1"/>
    <xf numFmtId="0" fontId="13" fillId="0" borderId="0" xfId="0" applyFont="1"/>
    <xf numFmtId="0" fontId="12" fillId="0" borderId="0" xfId="2" applyFont="1" applyBorder="1" applyAlignment="1">
      <alignment wrapText="1"/>
    </xf>
    <xf numFmtId="0" fontId="15" fillId="0" borderId="2" xfId="2" applyFont="1" applyBorder="1" applyAlignment="1">
      <alignment horizontal="center" vertical="center" wrapText="1"/>
    </xf>
    <xf numFmtId="164" fontId="16" fillId="2" borderId="2" xfId="1" applyNumberFormat="1" applyFont="1" applyFill="1" applyBorder="1" applyAlignment="1">
      <alignment horizontal="center" vertical="center" wrapText="1"/>
    </xf>
    <xf numFmtId="164" fontId="16" fillId="2" borderId="2" xfId="1" applyNumberFormat="1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center" vertical="center" wrapText="1"/>
    </xf>
    <xf numFmtId="164" fontId="17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vertical="center" wrapText="1"/>
    </xf>
    <xf numFmtId="164" fontId="3" fillId="2" borderId="10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wrapText="1"/>
    </xf>
    <xf numFmtId="164" fontId="17" fillId="2" borderId="2" xfId="1" applyNumberFormat="1" applyFont="1" applyFill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center" wrapText="1"/>
    </xf>
    <xf numFmtId="164" fontId="3" fillId="2" borderId="10" xfId="1" applyNumberFormat="1" applyFont="1" applyFill="1" applyBorder="1" applyAlignment="1">
      <alignment horizontal="center" wrapText="1"/>
    </xf>
    <xf numFmtId="1" fontId="11" fillId="2" borderId="2" xfId="1" applyNumberFormat="1" applyFont="1" applyFill="1" applyBorder="1" applyAlignment="1">
      <alignment horizontal="center" wrapText="1"/>
    </xf>
    <xf numFmtId="164" fontId="19" fillId="2" borderId="2" xfId="0" applyNumberFormat="1" applyFont="1" applyFill="1" applyBorder="1" applyAlignment="1">
      <alignment horizontal="center" wrapText="1"/>
    </xf>
    <xf numFmtId="0" fontId="17" fillId="2" borderId="2" xfId="1" applyFont="1" applyFill="1" applyBorder="1" applyAlignment="1">
      <alignment horizontal="left" vertical="center" wrapText="1"/>
    </xf>
    <xf numFmtId="0" fontId="21" fillId="0" borderId="0" xfId="0" applyFont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1" applyFont="1"/>
    <xf numFmtId="4" fontId="11" fillId="0" borderId="0" xfId="2" applyNumberFormat="1" applyFont="1" applyAlignment="1">
      <alignment horizontal="right"/>
    </xf>
    <xf numFmtId="0" fontId="21" fillId="0" borderId="14" xfId="0" applyFont="1" applyBorder="1"/>
    <xf numFmtId="0" fontId="21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7" fillId="2" borderId="2" xfId="2" applyFont="1" applyFill="1" applyBorder="1" applyAlignment="1"/>
    <xf numFmtId="0" fontId="19" fillId="2" borderId="2" xfId="0" applyFont="1" applyFill="1" applyBorder="1" applyAlignment="1">
      <alignment horizontal="center" vertical="center"/>
    </xf>
    <xf numFmtId="4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/>
    </xf>
    <xf numFmtId="0" fontId="17" fillId="2" borderId="2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/>
    </xf>
    <xf numFmtId="0" fontId="21" fillId="0" borderId="2" xfId="0" applyFont="1" applyBorder="1"/>
    <xf numFmtId="0" fontId="16" fillId="2" borderId="2" xfId="0" applyFont="1" applyFill="1" applyBorder="1"/>
    <xf numFmtId="164" fontId="16" fillId="2" borderId="2" xfId="0" applyNumberFormat="1" applyFont="1" applyFill="1" applyBorder="1"/>
    <xf numFmtId="164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/>
    <xf numFmtId="0" fontId="19" fillId="2" borderId="0" xfId="0" applyFont="1" applyFill="1"/>
    <xf numFmtId="0" fontId="19" fillId="2" borderId="0" xfId="0" applyFont="1" applyFill="1" applyBorder="1"/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/>
    <xf numFmtId="0" fontId="21" fillId="0" borderId="0" xfId="0" applyFont="1" applyAlignment="1">
      <alignment horizontal="right"/>
    </xf>
    <xf numFmtId="0" fontId="24" fillId="0" borderId="0" xfId="2" applyFont="1"/>
    <xf numFmtId="0" fontId="7" fillId="0" borderId="0" xfId="2" applyFont="1"/>
    <xf numFmtId="0" fontId="24" fillId="2" borderId="2" xfId="2" applyFont="1" applyFill="1" applyBorder="1" applyAlignment="1"/>
    <xf numFmtId="0" fontId="24" fillId="0" borderId="2" xfId="2" applyFont="1" applyBorder="1" applyAlignment="1">
      <alignment wrapText="1"/>
    </xf>
    <xf numFmtId="2" fontId="24" fillId="0" borderId="2" xfId="2" applyNumberFormat="1" applyFont="1" applyBorder="1" applyAlignment="1">
      <alignment wrapText="1"/>
    </xf>
    <xf numFmtId="0" fontId="14" fillId="2" borderId="2" xfId="0" applyFont="1" applyFill="1" applyBorder="1" applyAlignment="1">
      <alignment horizontal="right" vertical="center" wrapText="1"/>
    </xf>
    <xf numFmtId="164" fontId="21" fillId="2" borderId="2" xfId="0" applyNumberFormat="1" applyFont="1" applyFill="1" applyBorder="1" applyAlignment="1">
      <alignment vertical="center" wrapText="1"/>
    </xf>
    <xf numFmtId="2" fontId="24" fillId="2" borderId="2" xfId="2" applyNumberFormat="1" applyFont="1" applyFill="1" applyBorder="1" applyAlignment="1">
      <alignment wrapText="1"/>
    </xf>
    <xf numFmtId="0" fontId="24" fillId="2" borderId="5" xfId="2" applyFont="1" applyFill="1" applyBorder="1" applyAlignment="1">
      <alignment horizontal="right" wrapText="1"/>
    </xf>
    <xf numFmtId="2" fontId="26" fillId="2" borderId="2" xfId="0" applyNumberFormat="1" applyFont="1" applyFill="1" applyBorder="1" applyAlignment="1">
      <alignment horizontal="center" vertical="center" wrapText="1"/>
    </xf>
    <xf numFmtId="164" fontId="25" fillId="2" borderId="2" xfId="1" applyNumberFormat="1" applyFont="1" applyFill="1" applyBorder="1" applyAlignment="1">
      <alignment horizontal="right" vertical="center" wrapText="1"/>
    </xf>
    <xf numFmtId="0" fontId="24" fillId="2" borderId="2" xfId="0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horizontal="center" vertical="center" wrapText="1"/>
    </xf>
    <xf numFmtId="2" fontId="27" fillId="2" borderId="2" xfId="2" applyNumberFormat="1" applyFont="1" applyFill="1" applyBorder="1" applyAlignment="1">
      <alignment horizontal="center"/>
    </xf>
    <xf numFmtId="0" fontId="27" fillId="2" borderId="2" xfId="2" applyFont="1" applyFill="1" applyBorder="1" applyAlignment="1">
      <alignment horizontal="center"/>
    </xf>
    <xf numFmtId="0" fontId="25" fillId="0" borderId="2" xfId="2" applyFont="1" applyBorder="1" applyAlignment="1">
      <alignment wrapText="1"/>
    </xf>
    <xf numFmtId="164" fontId="27" fillId="2" borderId="2" xfId="0" applyNumberFormat="1" applyFont="1" applyFill="1" applyBorder="1" applyAlignment="1">
      <alignment horizontal="center" vertical="center" wrapText="1"/>
    </xf>
    <xf numFmtId="2" fontId="25" fillId="0" borderId="2" xfId="2" applyNumberFormat="1" applyFont="1" applyBorder="1" applyAlignment="1">
      <alignment wrapText="1"/>
    </xf>
    <xf numFmtId="0" fontId="28" fillId="2" borderId="2" xfId="2" applyFont="1" applyFill="1" applyBorder="1" applyAlignment="1">
      <alignment horizontal="center"/>
    </xf>
    <xf numFmtId="2" fontId="21" fillId="0" borderId="2" xfId="0" applyNumberFormat="1" applyFont="1" applyBorder="1"/>
    <xf numFmtId="164" fontId="4" fillId="2" borderId="2" xfId="1" applyNumberFormat="1" applyFont="1" applyFill="1" applyBorder="1" applyAlignment="1">
      <alignment horizontal="right" vertical="center" wrapText="1"/>
    </xf>
    <xf numFmtId="2" fontId="24" fillId="0" borderId="10" xfId="2" applyNumberFormat="1" applyFont="1" applyBorder="1" applyAlignment="1">
      <alignment wrapText="1"/>
    </xf>
    <xf numFmtId="164" fontId="24" fillId="2" borderId="2" xfId="0" applyNumberFormat="1" applyFont="1" applyFill="1" applyBorder="1" applyAlignment="1">
      <alignment vertical="center" wrapText="1"/>
    </xf>
    <xf numFmtId="164" fontId="27" fillId="2" borderId="2" xfId="0" applyNumberFormat="1" applyFont="1" applyFill="1" applyBorder="1" applyAlignment="1">
      <alignment vertical="center" wrapText="1"/>
    </xf>
    <xf numFmtId="164" fontId="24" fillId="2" borderId="10" xfId="0" applyNumberFormat="1" applyFont="1" applyFill="1" applyBorder="1" applyAlignment="1">
      <alignment horizontal="right" vertical="center" wrapText="1"/>
    </xf>
    <xf numFmtId="164" fontId="28" fillId="2" borderId="2" xfId="0" applyNumberFormat="1" applyFont="1" applyFill="1" applyBorder="1" applyAlignment="1">
      <alignment vertical="center" wrapText="1"/>
    </xf>
    <xf numFmtId="164" fontId="24" fillId="2" borderId="2" xfId="0" applyNumberFormat="1" applyFont="1" applyFill="1" applyBorder="1" applyAlignment="1">
      <alignment horizontal="right" vertical="center" wrapText="1"/>
    </xf>
    <xf numFmtId="164" fontId="27" fillId="2" borderId="2" xfId="0" applyNumberFormat="1" applyFont="1" applyFill="1" applyBorder="1" applyAlignment="1">
      <alignment horizontal="right" vertical="center" wrapText="1"/>
    </xf>
    <xf numFmtId="164" fontId="25" fillId="2" borderId="10" xfId="0" applyNumberFormat="1" applyFont="1" applyFill="1" applyBorder="1" applyAlignment="1">
      <alignment horizontal="right" vertical="center" wrapText="1"/>
    </xf>
    <xf numFmtId="0" fontId="24" fillId="2" borderId="5" xfId="0" applyFont="1" applyFill="1" applyBorder="1" applyAlignment="1">
      <alignment horizontal="right" vertical="center" wrapText="1"/>
    </xf>
    <xf numFmtId="0" fontId="24" fillId="2" borderId="2" xfId="2" applyFont="1" applyFill="1" applyBorder="1" applyAlignment="1">
      <alignment horizontal="right" wrapText="1"/>
    </xf>
    <xf numFmtId="0" fontId="24" fillId="2" borderId="2" xfId="2" applyFont="1" applyFill="1" applyBorder="1" applyAlignment="1">
      <alignment wrapText="1"/>
    </xf>
    <xf numFmtId="0" fontId="24" fillId="4" borderId="0" xfId="2" applyFont="1" applyFill="1" applyBorder="1" applyAlignment="1">
      <alignment horizontal="right" wrapText="1"/>
    </xf>
    <xf numFmtId="0" fontId="24" fillId="4" borderId="0" xfId="0" applyFont="1" applyFill="1" applyBorder="1" applyAlignment="1">
      <alignment horizontal="left" vertical="center" wrapText="1"/>
    </xf>
    <xf numFmtId="164" fontId="24" fillId="4" borderId="0" xfId="0" applyNumberFormat="1" applyFont="1" applyFill="1" applyBorder="1" applyAlignment="1">
      <alignment vertical="center" wrapText="1"/>
    </xf>
    <xf numFmtId="164" fontId="25" fillId="2" borderId="2" xfId="0" applyNumberFormat="1" applyFont="1" applyFill="1" applyBorder="1" applyAlignment="1">
      <alignment horizontal="right" vertical="center" wrapText="1"/>
    </xf>
    <xf numFmtId="4" fontId="21" fillId="0" borderId="0" xfId="0" applyNumberFormat="1" applyFont="1"/>
    <xf numFmtId="2" fontId="21" fillId="0" borderId="0" xfId="0" applyNumberFormat="1" applyFont="1"/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7" fillId="2" borderId="13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center" wrapText="1"/>
    </xf>
    <xf numFmtId="0" fontId="25" fillId="2" borderId="4" xfId="2" applyFont="1" applyFill="1" applyBorder="1" applyAlignment="1">
      <alignment horizontal="center" wrapText="1"/>
    </xf>
    <xf numFmtId="0" fontId="25" fillId="2" borderId="5" xfId="2" applyFont="1" applyFill="1" applyBorder="1" applyAlignment="1">
      <alignment horizont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24" fillId="2" borderId="10" xfId="2" applyFont="1" applyFill="1" applyBorder="1" applyAlignment="1">
      <alignment horizontal="left" wrapText="1"/>
    </xf>
    <xf numFmtId="0" fontId="24" fillId="2" borderId="3" xfId="2" applyFont="1" applyFill="1" applyBorder="1" applyAlignment="1">
      <alignment horizontal="left" wrapText="1"/>
    </xf>
    <xf numFmtId="0" fontId="24" fillId="2" borderId="6" xfId="2" applyFont="1" applyFill="1" applyBorder="1" applyAlignment="1">
      <alignment horizontal="left" wrapText="1"/>
    </xf>
    <xf numFmtId="0" fontId="24" fillId="2" borderId="10" xfId="2" applyFont="1" applyFill="1" applyBorder="1" applyAlignment="1">
      <alignment horizontal="left"/>
    </xf>
    <xf numFmtId="0" fontId="24" fillId="2" borderId="3" xfId="2" applyFont="1" applyFill="1" applyBorder="1" applyAlignment="1">
      <alignment horizontal="left"/>
    </xf>
    <xf numFmtId="0" fontId="24" fillId="2" borderId="6" xfId="2" applyFont="1" applyFill="1" applyBorder="1" applyAlignment="1">
      <alignment horizontal="left"/>
    </xf>
    <xf numFmtId="0" fontId="24" fillId="2" borderId="10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/>
    </xf>
    <xf numFmtId="2" fontId="7" fillId="2" borderId="2" xfId="1" applyNumberFormat="1" applyFont="1" applyFill="1" applyBorder="1" applyAlignment="1">
      <alignment horizontal="center" vertical="center" wrapText="1"/>
    </xf>
    <xf numFmtId="2" fontId="25" fillId="2" borderId="2" xfId="1" applyNumberFormat="1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10" xfId="0" applyFont="1" applyFill="1" applyBorder="1" applyAlignment="1">
      <alignment horizontal="left" wrapText="1"/>
    </xf>
    <xf numFmtId="0" fontId="24" fillId="2" borderId="3" xfId="0" applyFont="1" applyFill="1" applyBorder="1" applyAlignment="1">
      <alignment horizontal="left" wrapText="1"/>
    </xf>
    <xf numFmtId="0" fontId="24" fillId="2" borderId="6" xfId="0" applyFont="1" applyFill="1" applyBorder="1" applyAlignment="1">
      <alignment horizontal="left" wrapText="1"/>
    </xf>
    <xf numFmtId="0" fontId="25" fillId="2" borderId="12" xfId="2" applyFont="1" applyFill="1" applyBorder="1" applyAlignment="1">
      <alignment horizontal="center" wrapText="1"/>
    </xf>
    <xf numFmtId="0" fontId="25" fillId="2" borderId="7" xfId="2" applyFont="1" applyFill="1" applyBorder="1" applyAlignment="1">
      <alignment horizontal="center" wrapText="1"/>
    </xf>
    <xf numFmtId="0" fontId="25" fillId="2" borderId="8" xfId="2" applyFont="1" applyFill="1" applyBorder="1" applyAlignment="1">
      <alignment horizontal="center" wrapText="1"/>
    </xf>
    <xf numFmtId="0" fontId="25" fillId="2" borderId="1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horizontal="center" wrapText="1"/>
    </xf>
    <xf numFmtId="0" fontId="25" fillId="2" borderId="9" xfId="2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7" fillId="2" borderId="2" xfId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/>
    <xf numFmtId="164" fontId="4" fillId="2" borderId="0" xfId="1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6" fillId="2" borderId="2" xfId="1" applyFont="1" applyFill="1" applyBorder="1" applyAlignment="1">
      <alignment horizontal="left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4" fontId="19" fillId="2" borderId="4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 wrapText="1"/>
    </xf>
    <xf numFmtId="0" fontId="21" fillId="2" borderId="3" xfId="0" applyFont="1" applyFill="1" applyBorder="1"/>
    <xf numFmtId="0" fontId="21" fillId="2" borderId="6" xfId="0" applyFont="1" applyFill="1" applyBorder="1"/>
    <xf numFmtId="164" fontId="19" fillId="2" borderId="4" xfId="0" applyNumberFormat="1" applyFont="1" applyFill="1" applyBorder="1" applyAlignment="1">
      <alignment horizontal="center" vertical="center" wrapText="1"/>
    </xf>
    <xf numFmtId="164" fontId="19" fillId="2" borderId="5" xfId="0" applyNumberFormat="1" applyFont="1" applyFill="1" applyBorder="1" applyAlignment="1">
      <alignment horizontal="center" vertical="center" wrapText="1"/>
    </xf>
    <xf numFmtId="2" fontId="20" fillId="3" borderId="2" xfId="1" applyNumberFormat="1" applyFont="1" applyFill="1" applyBorder="1" applyAlignment="1">
      <alignment horizontal="center" vertical="center" wrapText="1"/>
    </xf>
    <xf numFmtId="2" fontId="20" fillId="3" borderId="10" xfId="1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/>
    <xf numFmtId="0" fontId="14" fillId="2" borderId="0" xfId="0" applyFont="1" applyFill="1" applyAlignment="1">
      <alignment horizontal="center"/>
    </xf>
    <xf numFmtId="0" fontId="25" fillId="2" borderId="10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2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5" fillId="2" borderId="12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164" fontId="25" fillId="2" borderId="2" xfId="1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0" xfId="2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D3" sqref="D3:J3"/>
    </sheetView>
  </sheetViews>
  <sheetFormatPr defaultRowHeight="15" x14ac:dyDescent="0.25"/>
  <cols>
    <col min="1" max="1" width="4.7109375" customWidth="1"/>
    <col min="8" max="8" width="3.28515625" customWidth="1"/>
    <col min="9" max="9" width="4.28515625" customWidth="1"/>
    <col min="10" max="10" width="16.7109375" customWidth="1"/>
    <col min="16" max="16" width="10.5703125" bestFit="1" customWidth="1"/>
  </cols>
  <sheetData>
    <row r="1" spans="1:16" x14ac:dyDescent="0.25">
      <c r="A1" s="25"/>
      <c r="B1" s="25"/>
      <c r="C1" s="25"/>
      <c r="D1" s="25"/>
      <c r="E1" s="25"/>
      <c r="F1" s="25"/>
      <c r="G1" s="25"/>
      <c r="H1" s="25"/>
      <c r="I1" s="25"/>
      <c r="J1" s="51" t="s">
        <v>11</v>
      </c>
    </row>
    <row r="2" spans="1:16" x14ac:dyDescent="0.25">
      <c r="A2" s="25"/>
      <c r="B2" s="25"/>
      <c r="C2" s="25"/>
      <c r="D2" s="25"/>
      <c r="E2" s="25"/>
      <c r="F2" s="25"/>
      <c r="G2" s="91" t="s">
        <v>130</v>
      </c>
      <c r="H2" s="91"/>
      <c r="I2" s="91"/>
      <c r="J2" s="91"/>
    </row>
    <row r="3" spans="1:16" x14ac:dyDescent="0.25">
      <c r="A3" s="25"/>
      <c r="B3" s="25"/>
      <c r="C3" s="25"/>
      <c r="D3" s="91" t="s">
        <v>241</v>
      </c>
      <c r="E3" s="91"/>
      <c r="F3" s="91"/>
      <c r="G3" s="91"/>
      <c r="H3" s="91"/>
      <c r="I3" s="91"/>
      <c r="J3" s="91"/>
    </row>
    <row r="4" spans="1:16" ht="109.5" customHeight="1" x14ac:dyDescent="0.3">
      <c r="A4" s="92" t="s">
        <v>123</v>
      </c>
      <c r="B4" s="93"/>
      <c r="C4" s="93"/>
      <c r="D4" s="93"/>
      <c r="E4" s="93"/>
      <c r="F4" s="93"/>
      <c r="G4" s="93"/>
      <c r="H4" s="93"/>
      <c r="I4" s="93"/>
      <c r="J4" s="93"/>
    </row>
    <row r="5" spans="1:16" ht="18.75" x14ac:dyDescent="0.3">
      <c r="A5" s="52"/>
      <c r="B5" s="53"/>
      <c r="C5" s="53"/>
      <c r="D5" s="53"/>
      <c r="E5" s="53"/>
      <c r="F5" s="52"/>
      <c r="G5" s="52"/>
      <c r="H5" s="52"/>
      <c r="I5" s="52"/>
      <c r="J5" s="52"/>
    </row>
    <row r="6" spans="1:16" ht="15" customHeight="1" x14ac:dyDescent="0.25">
      <c r="A6" s="94" t="s">
        <v>1</v>
      </c>
      <c r="B6" s="96" t="s">
        <v>2</v>
      </c>
      <c r="C6" s="97"/>
      <c r="D6" s="97"/>
      <c r="E6" s="97"/>
      <c r="F6" s="97"/>
      <c r="G6" s="97"/>
      <c r="H6" s="97"/>
      <c r="I6" s="98"/>
      <c r="J6" s="102" t="s">
        <v>9</v>
      </c>
    </row>
    <row r="7" spans="1:16" ht="32.25" customHeight="1" x14ac:dyDescent="0.25">
      <c r="A7" s="95"/>
      <c r="B7" s="99"/>
      <c r="C7" s="100"/>
      <c r="D7" s="100"/>
      <c r="E7" s="100"/>
      <c r="F7" s="100"/>
      <c r="G7" s="100"/>
      <c r="H7" s="100"/>
      <c r="I7" s="101"/>
      <c r="J7" s="102"/>
    </row>
    <row r="8" spans="1:16" ht="67.5" customHeight="1" x14ac:dyDescent="0.25">
      <c r="A8" s="54">
        <v>1</v>
      </c>
      <c r="B8" s="103" t="s">
        <v>59</v>
      </c>
      <c r="C8" s="104"/>
      <c r="D8" s="104"/>
      <c r="E8" s="104"/>
      <c r="F8" s="104"/>
      <c r="G8" s="104"/>
      <c r="H8" s="104"/>
      <c r="I8" s="105"/>
      <c r="J8" s="55">
        <v>1300570.8</v>
      </c>
    </row>
    <row r="9" spans="1:16" ht="18.75" customHeight="1" x14ac:dyDescent="0.25">
      <c r="A9" s="54">
        <v>2</v>
      </c>
      <c r="B9" s="106" t="s">
        <v>7</v>
      </c>
      <c r="C9" s="107"/>
      <c r="D9" s="107"/>
      <c r="E9" s="107"/>
      <c r="F9" s="107"/>
      <c r="G9" s="107"/>
      <c r="H9" s="107"/>
      <c r="I9" s="108"/>
      <c r="J9" s="55">
        <v>15758.64</v>
      </c>
      <c r="P9" s="4"/>
    </row>
    <row r="10" spans="1:16" ht="30" customHeight="1" x14ac:dyDescent="0.25">
      <c r="A10" s="54">
        <v>3</v>
      </c>
      <c r="B10" s="109" t="s">
        <v>60</v>
      </c>
      <c r="C10" s="110"/>
      <c r="D10" s="110"/>
      <c r="E10" s="110"/>
      <c r="F10" s="110"/>
      <c r="G10" s="110"/>
      <c r="H10" s="110"/>
      <c r="I10" s="111"/>
      <c r="J10" s="56">
        <v>74863</v>
      </c>
      <c r="P10" s="4"/>
    </row>
    <row r="11" spans="1:16" ht="15" customHeight="1" x14ac:dyDescent="0.25">
      <c r="A11" s="112" t="s">
        <v>5</v>
      </c>
      <c r="B11" s="112"/>
      <c r="C11" s="112"/>
      <c r="D11" s="112"/>
      <c r="E11" s="112"/>
      <c r="F11" s="112"/>
      <c r="G11" s="112"/>
      <c r="H11" s="112"/>
      <c r="I11" s="112"/>
      <c r="J11" s="113">
        <f>SUM(J8:J10)</f>
        <v>1391192.44</v>
      </c>
      <c r="P11" s="4"/>
    </row>
    <row r="12" spans="1:16" ht="15" customHeight="1" x14ac:dyDescent="0.25">
      <c r="A12" s="112"/>
      <c r="B12" s="112"/>
      <c r="C12" s="112"/>
      <c r="D12" s="112"/>
      <c r="E12" s="112"/>
      <c r="F12" s="112"/>
      <c r="G12" s="112"/>
      <c r="H12" s="112"/>
      <c r="I12" s="112"/>
      <c r="J12" s="113"/>
    </row>
    <row r="13" spans="1:16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6" ht="15.75" x14ac:dyDescent="0.25">
      <c r="A14" s="90" t="s">
        <v>129</v>
      </c>
      <c r="B14" s="90"/>
      <c r="C14" s="90"/>
      <c r="D14" s="90"/>
      <c r="E14" s="90"/>
      <c r="F14" s="90"/>
      <c r="G14" s="90"/>
      <c r="H14" s="90"/>
      <c r="I14" s="90"/>
      <c r="J14" s="90"/>
    </row>
    <row r="15" spans="1:16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</row>
  </sheetData>
  <mergeCells count="12">
    <mergeCell ref="A14:J14"/>
    <mergeCell ref="G2:J2"/>
    <mergeCell ref="D3:J3"/>
    <mergeCell ref="A4:J4"/>
    <mergeCell ref="A6:A7"/>
    <mergeCell ref="B6:I7"/>
    <mergeCell ref="J6:J7"/>
    <mergeCell ref="B8:I8"/>
    <mergeCell ref="B9:I9"/>
    <mergeCell ref="B10:I10"/>
    <mergeCell ref="A11:I12"/>
    <mergeCell ref="J11: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D3" sqref="D3:J3"/>
    </sheetView>
  </sheetViews>
  <sheetFormatPr defaultRowHeight="15" x14ac:dyDescent="0.25"/>
  <cols>
    <col min="1" max="1" width="4.7109375" customWidth="1"/>
    <col min="8" max="8" width="3.28515625" customWidth="1"/>
    <col min="9" max="9" width="4.28515625" customWidth="1"/>
    <col min="10" max="10" width="16.7109375" customWidth="1"/>
    <col min="14" max="14" width="9.5703125" bestFit="1" customWidth="1"/>
    <col min="16" max="16" width="11.42578125" bestFit="1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  <c r="I1" s="25"/>
      <c r="J1" s="51" t="s">
        <v>11</v>
      </c>
    </row>
    <row r="2" spans="1:10" x14ac:dyDescent="0.25">
      <c r="A2" s="25"/>
      <c r="B2" s="25"/>
      <c r="C2" s="25"/>
      <c r="D2" s="25"/>
      <c r="E2" s="25"/>
      <c r="F2" s="25"/>
      <c r="G2" s="91" t="s">
        <v>130</v>
      </c>
      <c r="H2" s="91"/>
      <c r="I2" s="91"/>
      <c r="J2" s="91"/>
    </row>
    <row r="3" spans="1:10" x14ac:dyDescent="0.25">
      <c r="A3" s="25"/>
      <c r="B3" s="25"/>
      <c r="C3" s="25"/>
      <c r="D3" s="91" t="s">
        <v>239</v>
      </c>
      <c r="E3" s="91"/>
      <c r="F3" s="91"/>
      <c r="G3" s="91"/>
      <c r="H3" s="91"/>
      <c r="I3" s="91"/>
      <c r="J3" s="91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14.25" customHeight="1" x14ac:dyDescent="0.3">
      <c r="A5" s="92" t="s">
        <v>119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18.75" x14ac:dyDescent="0.3">
      <c r="A6" s="52"/>
      <c r="B6" s="53"/>
      <c r="C6" s="53"/>
      <c r="D6" s="53"/>
      <c r="E6" s="53"/>
      <c r="F6" s="52"/>
      <c r="G6" s="52"/>
      <c r="H6" s="52"/>
      <c r="I6" s="52"/>
      <c r="J6" s="52"/>
    </row>
    <row r="7" spans="1:10" ht="15" customHeight="1" x14ac:dyDescent="0.25">
      <c r="A7" s="94" t="s">
        <v>1</v>
      </c>
      <c r="B7" s="96" t="s">
        <v>2</v>
      </c>
      <c r="C7" s="97"/>
      <c r="D7" s="97"/>
      <c r="E7" s="97"/>
      <c r="F7" s="97"/>
      <c r="G7" s="97"/>
      <c r="H7" s="97"/>
      <c r="I7" s="98"/>
      <c r="J7" s="102" t="s">
        <v>9</v>
      </c>
    </row>
    <row r="8" spans="1:10" ht="20.25" customHeight="1" x14ac:dyDescent="0.25">
      <c r="A8" s="95"/>
      <c r="B8" s="99"/>
      <c r="C8" s="100"/>
      <c r="D8" s="100"/>
      <c r="E8" s="100"/>
      <c r="F8" s="100"/>
      <c r="G8" s="100"/>
      <c r="H8" s="100"/>
      <c r="I8" s="101"/>
      <c r="J8" s="102"/>
    </row>
    <row r="9" spans="1:10" ht="25.5" customHeight="1" x14ac:dyDescent="0.25">
      <c r="A9" s="57">
        <v>1</v>
      </c>
      <c r="B9" s="115" t="s">
        <v>116</v>
      </c>
      <c r="C9" s="116"/>
      <c r="D9" s="116"/>
      <c r="E9" s="116"/>
      <c r="F9" s="116"/>
      <c r="G9" s="116"/>
      <c r="H9" s="116"/>
      <c r="I9" s="117"/>
      <c r="J9" s="58">
        <v>19604</v>
      </c>
    </row>
    <row r="10" spans="1:10" ht="30.75" customHeight="1" x14ac:dyDescent="0.25">
      <c r="A10" s="57">
        <f>A9+1</f>
        <v>2</v>
      </c>
      <c r="B10" s="115" t="s">
        <v>117</v>
      </c>
      <c r="C10" s="116"/>
      <c r="D10" s="116"/>
      <c r="E10" s="116"/>
      <c r="F10" s="116"/>
      <c r="G10" s="116"/>
      <c r="H10" s="116"/>
      <c r="I10" s="117"/>
      <c r="J10" s="58">
        <v>57057.599999999999</v>
      </c>
    </row>
    <row r="11" spans="1:10" ht="26.25" customHeight="1" x14ac:dyDescent="0.25">
      <c r="A11" s="57">
        <f t="shared" ref="A11:A13" si="0">A10+1</f>
        <v>3</v>
      </c>
      <c r="B11" s="115" t="s">
        <v>118</v>
      </c>
      <c r="C11" s="116"/>
      <c r="D11" s="116"/>
      <c r="E11" s="116"/>
      <c r="F11" s="116"/>
      <c r="G11" s="116"/>
      <c r="H11" s="116"/>
      <c r="I11" s="117"/>
      <c r="J11" s="58">
        <v>14570</v>
      </c>
    </row>
    <row r="12" spans="1:10" ht="27.75" customHeight="1" x14ac:dyDescent="0.25">
      <c r="A12" s="57">
        <f t="shared" si="0"/>
        <v>4</v>
      </c>
      <c r="B12" s="115" t="s">
        <v>113</v>
      </c>
      <c r="C12" s="116"/>
      <c r="D12" s="116"/>
      <c r="E12" s="116"/>
      <c r="F12" s="116"/>
      <c r="G12" s="116"/>
      <c r="H12" s="116"/>
      <c r="I12" s="117"/>
      <c r="J12" s="59">
        <v>30980</v>
      </c>
    </row>
    <row r="13" spans="1:10" ht="39.75" customHeight="1" x14ac:dyDescent="0.25">
      <c r="A13" s="57">
        <f t="shared" si="0"/>
        <v>5</v>
      </c>
      <c r="B13" s="118" t="s">
        <v>114</v>
      </c>
      <c r="C13" s="119"/>
      <c r="D13" s="119"/>
      <c r="E13" s="119"/>
      <c r="F13" s="119"/>
      <c r="G13" s="119"/>
      <c r="H13" s="119"/>
      <c r="I13" s="120"/>
      <c r="J13" s="59">
        <v>96588</v>
      </c>
    </row>
    <row r="14" spans="1:10" ht="15" customHeight="1" x14ac:dyDescent="0.25">
      <c r="A14" s="121" t="s">
        <v>115</v>
      </c>
      <c r="B14" s="122"/>
      <c r="C14" s="122"/>
      <c r="D14" s="122"/>
      <c r="E14" s="122"/>
      <c r="F14" s="122"/>
      <c r="G14" s="122"/>
      <c r="H14" s="122"/>
      <c r="I14" s="123"/>
      <c r="J14" s="114">
        <f>SUM(J9:J13)</f>
        <v>218799.6</v>
      </c>
    </row>
    <row r="15" spans="1:10" ht="15" customHeight="1" x14ac:dyDescent="0.25">
      <c r="A15" s="124"/>
      <c r="B15" s="125"/>
      <c r="C15" s="125"/>
      <c r="D15" s="125"/>
      <c r="E15" s="125"/>
      <c r="F15" s="125"/>
      <c r="G15" s="125"/>
      <c r="H15" s="125"/>
      <c r="I15" s="126"/>
      <c r="J15" s="114"/>
    </row>
    <row r="16" spans="1:10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15.75" x14ac:dyDescent="0.25">
      <c r="A17" s="90" t="s">
        <v>129</v>
      </c>
      <c r="B17" s="90"/>
      <c r="C17" s="90"/>
      <c r="D17" s="90"/>
      <c r="E17" s="90"/>
      <c r="F17" s="90"/>
      <c r="G17" s="90"/>
      <c r="H17" s="90"/>
      <c r="I17" s="90"/>
      <c r="J17" s="90"/>
    </row>
    <row r="18" spans="1:10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</row>
  </sheetData>
  <mergeCells count="14">
    <mergeCell ref="J14:J15"/>
    <mergeCell ref="A17:J17"/>
    <mergeCell ref="B9:I9"/>
    <mergeCell ref="B10:I10"/>
    <mergeCell ref="B11:I11"/>
    <mergeCell ref="B12:I12"/>
    <mergeCell ref="B13:I13"/>
    <mergeCell ref="A14:I15"/>
    <mergeCell ref="G2:J2"/>
    <mergeCell ref="D3:J3"/>
    <mergeCell ref="A5:J5"/>
    <mergeCell ref="A7:A8"/>
    <mergeCell ref="B7:I8"/>
    <mergeCell ref="J7:J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P9" sqref="P9"/>
    </sheetView>
  </sheetViews>
  <sheetFormatPr defaultRowHeight="15" x14ac:dyDescent="0.25"/>
  <cols>
    <col min="1" max="1" width="4.7109375" customWidth="1"/>
    <col min="8" max="8" width="3.28515625" customWidth="1"/>
    <col min="9" max="9" width="4.28515625" customWidth="1"/>
    <col min="10" max="10" width="16.7109375" customWidth="1"/>
    <col min="14" max="14" width="15.5703125" customWidth="1"/>
  </cols>
  <sheetData>
    <row r="1" spans="1:14" x14ac:dyDescent="0.25">
      <c r="A1" s="25"/>
      <c r="B1" s="25"/>
      <c r="C1" s="25"/>
      <c r="D1" s="25"/>
      <c r="E1" s="25"/>
      <c r="F1" s="25"/>
      <c r="G1" s="25"/>
      <c r="H1" s="25"/>
      <c r="I1" s="25"/>
      <c r="J1" s="51" t="s">
        <v>11</v>
      </c>
    </row>
    <row r="2" spans="1:14" x14ac:dyDescent="0.25">
      <c r="A2" s="25"/>
      <c r="B2" s="25"/>
      <c r="C2" s="25"/>
      <c r="D2" s="25"/>
      <c r="E2" s="25"/>
      <c r="F2" s="25"/>
      <c r="G2" s="91" t="s">
        <v>130</v>
      </c>
      <c r="H2" s="91"/>
      <c r="I2" s="91"/>
      <c r="J2" s="91"/>
    </row>
    <row r="3" spans="1:14" x14ac:dyDescent="0.25">
      <c r="A3" s="25"/>
      <c r="B3" s="25"/>
      <c r="C3" s="25"/>
      <c r="D3" s="91" t="s">
        <v>240</v>
      </c>
      <c r="E3" s="91"/>
      <c r="F3" s="91"/>
      <c r="G3" s="91"/>
      <c r="H3" s="91"/>
      <c r="I3" s="91"/>
      <c r="J3" s="91"/>
    </row>
    <row r="4" spans="1:14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4" ht="98.25" customHeight="1" x14ac:dyDescent="0.3">
      <c r="A5" s="92" t="s">
        <v>124</v>
      </c>
      <c r="B5" s="93"/>
      <c r="C5" s="93"/>
      <c r="D5" s="93"/>
      <c r="E5" s="93"/>
      <c r="F5" s="93"/>
      <c r="G5" s="93"/>
      <c r="H5" s="93"/>
      <c r="I5" s="93"/>
      <c r="J5" s="93"/>
    </row>
    <row r="6" spans="1:14" ht="18.75" x14ac:dyDescent="0.3">
      <c r="A6" s="52"/>
      <c r="B6" s="53"/>
      <c r="C6" s="53"/>
      <c r="D6" s="53"/>
      <c r="E6" s="53"/>
      <c r="F6" s="52"/>
      <c r="G6" s="52"/>
      <c r="H6" s="52"/>
      <c r="I6" s="52"/>
      <c r="J6" s="52"/>
    </row>
    <row r="7" spans="1:14" ht="15" customHeight="1" x14ac:dyDescent="0.25">
      <c r="A7" s="94" t="s">
        <v>1</v>
      </c>
      <c r="B7" s="96" t="s">
        <v>2</v>
      </c>
      <c r="C7" s="97"/>
      <c r="D7" s="97"/>
      <c r="E7" s="97"/>
      <c r="F7" s="97"/>
      <c r="G7" s="97"/>
      <c r="H7" s="97"/>
      <c r="I7" s="98"/>
      <c r="J7" s="102" t="s">
        <v>9</v>
      </c>
    </row>
    <row r="8" spans="1:14" ht="18" customHeight="1" x14ac:dyDescent="0.25">
      <c r="A8" s="95"/>
      <c r="B8" s="99"/>
      <c r="C8" s="100"/>
      <c r="D8" s="100"/>
      <c r="E8" s="100"/>
      <c r="F8" s="100"/>
      <c r="G8" s="100"/>
      <c r="H8" s="100"/>
      <c r="I8" s="101"/>
      <c r="J8" s="102"/>
    </row>
    <row r="9" spans="1:14" ht="67.5" customHeight="1" x14ac:dyDescent="0.25">
      <c r="A9" s="54">
        <v>1</v>
      </c>
      <c r="B9" s="103" t="s">
        <v>10</v>
      </c>
      <c r="C9" s="104"/>
      <c r="D9" s="104"/>
      <c r="E9" s="104"/>
      <c r="F9" s="104"/>
      <c r="G9" s="104"/>
      <c r="H9" s="104"/>
      <c r="I9" s="105"/>
      <c r="J9" s="55">
        <v>3125814.22</v>
      </c>
    </row>
    <row r="10" spans="1:14" ht="18.75" customHeight="1" x14ac:dyDescent="0.25">
      <c r="A10" s="54">
        <v>2</v>
      </c>
      <c r="B10" s="106" t="s">
        <v>7</v>
      </c>
      <c r="C10" s="107"/>
      <c r="D10" s="107"/>
      <c r="E10" s="107"/>
      <c r="F10" s="107"/>
      <c r="G10" s="107"/>
      <c r="H10" s="107"/>
      <c r="I10" s="108"/>
      <c r="J10" s="55">
        <v>37075.9</v>
      </c>
    </row>
    <row r="11" spans="1:14" ht="37.5" customHeight="1" x14ac:dyDescent="0.25">
      <c r="A11" s="54">
        <v>3</v>
      </c>
      <c r="B11" s="109" t="s">
        <v>8</v>
      </c>
      <c r="C11" s="110"/>
      <c r="D11" s="110"/>
      <c r="E11" s="110"/>
      <c r="F11" s="110"/>
      <c r="G11" s="110"/>
      <c r="H11" s="110"/>
      <c r="I11" s="111"/>
      <c r="J11" s="55">
        <v>135678.84</v>
      </c>
    </row>
    <row r="12" spans="1:14" ht="18.75" customHeight="1" x14ac:dyDescent="0.25">
      <c r="A12" s="54">
        <v>4</v>
      </c>
      <c r="B12" s="106" t="s">
        <v>6</v>
      </c>
      <c r="C12" s="107"/>
      <c r="D12" s="107"/>
      <c r="E12" s="107"/>
      <c r="F12" s="107"/>
      <c r="G12" s="107"/>
      <c r="H12" s="107"/>
      <c r="I12" s="108"/>
      <c r="J12" s="55">
        <v>9465.89</v>
      </c>
    </row>
    <row r="13" spans="1:14" ht="15" customHeight="1" x14ac:dyDescent="0.25">
      <c r="A13" s="112" t="s">
        <v>5</v>
      </c>
      <c r="B13" s="112"/>
      <c r="C13" s="112"/>
      <c r="D13" s="112"/>
      <c r="E13" s="112"/>
      <c r="F13" s="112"/>
      <c r="G13" s="112"/>
      <c r="H13" s="112"/>
      <c r="I13" s="112"/>
      <c r="J13" s="113">
        <f>SUM(J9:J12)</f>
        <v>3308034.85</v>
      </c>
      <c r="N13" s="4"/>
    </row>
    <row r="14" spans="1:14" ht="11.25" customHeight="1" x14ac:dyDescent="0.25">
      <c r="A14" s="112"/>
      <c r="B14" s="112"/>
      <c r="C14" s="112"/>
      <c r="D14" s="112"/>
      <c r="E14" s="112"/>
      <c r="F14" s="112"/>
      <c r="G14" s="112"/>
      <c r="H14" s="112"/>
      <c r="I14" s="112"/>
      <c r="J14" s="113"/>
    </row>
    <row r="15" spans="1:14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1:14" ht="15.75" x14ac:dyDescent="0.25">
      <c r="A16" s="90" t="s">
        <v>129</v>
      </c>
      <c r="B16" s="90"/>
      <c r="C16" s="90"/>
      <c r="D16" s="90"/>
      <c r="E16" s="90"/>
      <c r="F16" s="90"/>
      <c r="G16" s="90"/>
      <c r="H16" s="90"/>
      <c r="I16" s="90"/>
      <c r="J16" s="90"/>
    </row>
    <row r="17" spans="1:10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</row>
  </sheetData>
  <mergeCells count="13">
    <mergeCell ref="G2:J2"/>
    <mergeCell ref="D3:J3"/>
    <mergeCell ref="A16:J16"/>
    <mergeCell ref="A5:J5"/>
    <mergeCell ref="A13:I14"/>
    <mergeCell ref="J13:J14"/>
    <mergeCell ref="B9:I9"/>
    <mergeCell ref="B10:I10"/>
    <mergeCell ref="B11:I11"/>
    <mergeCell ref="B12:I12"/>
    <mergeCell ref="A7:A8"/>
    <mergeCell ref="B7:I8"/>
    <mergeCell ref="J7:J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D3" sqref="D3:J3"/>
    </sheetView>
  </sheetViews>
  <sheetFormatPr defaultRowHeight="15" x14ac:dyDescent="0.25"/>
  <cols>
    <col min="1" max="1" width="4.7109375" customWidth="1"/>
    <col min="8" max="8" width="3.28515625" customWidth="1"/>
    <col min="9" max="9" width="4.28515625" customWidth="1"/>
    <col min="10" max="10" width="16.7109375" customWidth="1"/>
    <col min="14" max="14" width="10.5703125" bestFit="1" customWidth="1"/>
  </cols>
  <sheetData>
    <row r="1" spans="1:14" x14ac:dyDescent="0.25">
      <c r="A1" s="25"/>
      <c r="B1" s="25"/>
      <c r="C1" s="25"/>
      <c r="D1" s="25"/>
      <c r="E1" s="25"/>
      <c r="F1" s="25"/>
      <c r="G1" s="25"/>
      <c r="H1" s="25"/>
      <c r="I1" s="25"/>
      <c r="J1" s="51" t="s">
        <v>11</v>
      </c>
    </row>
    <row r="2" spans="1:14" x14ac:dyDescent="0.25">
      <c r="A2" s="25"/>
      <c r="B2" s="25"/>
      <c r="C2" s="25"/>
      <c r="D2" s="25"/>
      <c r="E2" s="25"/>
      <c r="F2" s="25"/>
      <c r="G2" s="91" t="s">
        <v>130</v>
      </c>
      <c r="H2" s="91"/>
      <c r="I2" s="91"/>
      <c r="J2" s="91"/>
    </row>
    <row r="3" spans="1:14" x14ac:dyDescent="0.25">
      <c r="A3" s="25"/>
      <c r="B3" s="25"/>
      <c r="C3" s="25"/>
      <c r="D3" s="91" t="s">
        <v>239</v>
      </c>
      <c r="E3" s="91"/>
      <c r="F3" s="91"/>
      <c r="G3" s="91"/>
      <c r="H3" s="91"/>
      <c r="I3" s="91"/>
      <c r="J3" s="91"/>
    </row>
    <row r="4" spans="1:14" ht="55.5" customHeight="1" x14ac:dyDescent="0.3">
      <c r="A4" s="92" t="s">
        <v>125</v>
      </c>
      <c r="B4" s="93"/>
      <c r="C4" s="93"/>
      <c r="D4" s="93"/>
      <c r="E4" s="93"/>
      <c r="F4" s="93"/>
      <c r="G4" s="93"/>
      <c r="H4" s="93"/>
      <c r="I4" s="93"/>
      <c r="J4" s="93"/>
    </row>
    <row r="5" spans="1:14" ht="18.75" x14ac:dyDescent="0.3">
      <c r="A5" s="52"/>
      <c r="B5" s="53"/>
      <c r="C5" s="53"/>
      <c r="D5" s="53"/>
      <c r="E5" s="53"/>
      <c r="F5" s="52"/>
      <c r="G5" s="52"/>
      <c r="H5" s="52"/>
      <c r="I5" s="52"/>
      <c r="J5" s="52"/>
    </row>
    <row r="6" spans="1:14" ht="15" customHeight="1" x14ac:dyDescent="0.25">
      <c r="A6" s="94" t="s">
        <v>1</v>
      </c>
      <c r="B6" s="96" t="s">
        <v>2</v>
      </c>
      <c r="C6" s="97"/>
      <c r="D6" s="97"/>
      <c r="E6" s="97"/>
      <c r="F6" s="97"/>
      <c r="G6" s="97"/>
      <c r="H6" s="97"/>
      <c r="I6" s="98"/>
      <c r="J6" s="102" t="s">
        <v>9</v>
      </c>
    </row>
    <row r="7" spans="1:14" ht="32.25" customHeight="1" x14ac:dyDescent="0.25">
      <c r="A7" s="95"/>
      <c r="B7" s="99"/>
      <c r="C7" s="100"/>
      <c r="D7" s="100"/>
      <c r="E7" s="100"/>
      <c r="F7" s="100"/>
      <c r="G7" s="100"/>
      <c r="H7" s="100"/>
      <c r="I7" s="101"/>
      <c r="J7" s="102"/>
    </row>
    <row r="8" spans="1:14" ht="67.5" customHeight="1" x14ac:dyDescent="0.25">
      <c r="A8" s="54">
        <v>1</v>
      </c>
      <c r="B8" s="103" t="s">
        <v>12</v>
      </c>
      <c r="C8" s="104"/>
      <c r="D8" s="104"/>
      <c r="E8" s="104"/>
      <c r="F8" s="104"/>
      <c r="G8" s="104"/>
      <c r="H8" s="104"/>
      <c r="I8" s="105"/>
      <c r="J8" s="56">
        <v>7125000</v>
      </c>
    </row>
    <row r="9" spans="1:14" ht="18.75" customHeight="1" x14ac:dyDescent="0.25">
      <c r="A9" s="54">
        <v>2</v>
      </c>
      <c r="B9" s="106" t="s">
        <v>13</v>
      </c>
      <c r="C9" s="107"/>
      <c r="D9" s="107"/>
      <c r="E9" s="107"/>
      <c r="F9" s="107"/>
      <c r="G9" s="107"/>
      <c r="H9" s="107"/>
      <c r="I9" s="108"/>
      <c r="J9" s="56">
        <v>17210.400000000001</v>
      </c>
    </row>
    <row r="10" spans="1:14" ht="37.5" customHeight="1" x14ac:dyDescent="0.25">
      <c r="A10" s="54">
        <v>3</v>
      </c>
      <c r="B10" s="103" t="s">
        <v>18</v>
      </c>
      <c r="C10" s="104"/>
      <c r="D10" s="104"/>
      <c r="E10" s="104"/>
      <c r="F10" s="104"/>
      <c r="G10" s="104"/>
      <c r="H10" s="104"/>
      <c r="I10" s="105"/>
      <c r="J10" s="56">
        <v>103263</v>
      </c>
      <c r="N10" s="4"/>
    </row>
    <row r="11" spans="1:14" ht="65.25" customHeight="1" x14ac:dyDescent="0.25">
      <c r="A11" s="54">
        <v>4</v>
      </c>
      <c r="B11" s="109" t="s">
        <v>17</v>
      </c>
      <c r="C11" s="110"/>
      <c r="D11" s="110"/>
      <c r="E11" s="110"/>
      <c r="F11" s="110"/>
      <c r="G11" s="110"/>
      <c r="H11" s="110"/>
      <c r="I11" s="111"/>
      <c r="J11" s="56">
        <v>26909.4</v>
      </c>
      <c r="N11" s="4"/>
    </row>
    <row r="12" spans="1:14" ht="15" customHeight="1" x14ac:dyDescent="0.25">
      <c r="A12" s="112" t="s">
        <v>5</v>
      </c>
      <c r="B12" s="112"/>
      <c r="C12" s="112"/>
      <c r="D12" s="112"/>
      <c r="E12" s="112"/>
      <c r="F12" s="112"/>
      <c r="G12" s="112"/>
      <c r="H12" s="112"/>
      <c r="I12" s="112"/>
      <c r="J12" s="113">
        <f>SUM(J8:J11)</f>
        <v>7272382.8000000007</v>
      </c>
    </row>
    <row r="13" spans="1:14" ht="15" customHeight="1" x14ac:dyDescent="0.25">
      <c r="A13" s="112"/>
      <c r="B13" s="112"/>
      <c r="C13" s="112"/>
      <c r="D13" s="112"/>
      <c r="E13" s="112"/>
      <c r="F13" s="112"/>
      <c r="G13" s="112"/>
      <c r="H13" s="112"/>
      <c r="I13" s="112"/>
      <c r="J13" s="113"/>
    </row>
    <row r="14" spans="1:1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4" ht="15.75" x14ac:dyDescent="0.25">
      <c r="A15" s="90" t="s">
        <v>129</v>
      </c>
      <c r="B15" s="90"/>
      <c r="C15" s="90"/>
      <c r="D15" s="90"/>
      <c r="E15" s="90"/>
      <c r="F15" s="90"/>
      <c r="G15" s="90"/>
      <c r="H15" s="90"/>
      <c r="I15" s="90"/>
      <c r="J15" s="90"/>
    </row>
    <row r="16" spans="1:14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</row>
  </sheetData>
  <mergeCells count="13">
    <mergeCell ref="A15:J15"/>
    <mergeCell ref="G2:J2"/>
    <mergeCell ref="D3:J3"/>
    <mergeCell ref="B11:I11"/>
    <mergeCell ref="A12:I13"/>
    <mergeCell ref="J12:J13"/>
    <mergeCell ref="A4:J4"/>
    <mergeCell ref="A6:A7"/>
    <mergeCell ref="B6:I7"/>
    <mergeCell ref="J6:J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D3" sqref="D3:J3"/>
    </sheetView>
  </sheetViews>
  <sheetFormatPr defaultRowHeight="15" x14ac:dyDescent="0.25"/>
  <cols>
    <col min="1" max="1" width="4.7109375" customWidth="1"/>
    <col min="8" max="8" width="3.28515625" customWidth="1"/>
    <col min="9" max="9" width="4.28515625" customWidth="1"/>
    <col min="10" max="10" width="16.7109375" customWidth="1"/>
    <col min="14" max="14" width="9.5703125" bestFit="1" customWidth="1"/>
  </cols>
  <sheetData>
    <row r="1" spans="1:14" x14ac:dyDescent="0.25">
      <c r="A1" s="25"/>
      <c r="B1" s="25"/>
      <c r="C1" s="25"/>
      <c r="D1" s="25"/>
      <c r="E1" s="25"/>
      <c r="F1" s="25"/>
      <c r="G1" s="25"/>
      <c r="H1" s="25"/>
      <c r="I1" s="25"/>
      <c r="J1" s="51" t="s">
        <v>11</v>
      </c>
    </row>
    <row r="2" spans="1:14" x14ac:dyDescent="0.25">
      <c r="A2" s="25"/>
      <c r="B2" s="25"/>
      <c r="C2" s="25"/>
      <c r="D2" s="25"/>
      <c r="E2" s="25"/>
      <c r="F2" s="25"/>
      <c r="G2" s="91" t="s">
        <v>130</v>
      </c>
      <c r="H2" s="91"/>
      <c r="I2" s="91"/>
      <c r="J2" s="91"/>
    </row>
    <row r="3" spans="1:14" x14ac:dyDescent="0.25">
      <c r="A3" s="25"/>
      <c r="B3" s="25"/>
      <c r="C3" s="25"/>
      <c r="D3" s="91" t="s">
        <v>239</v>
      </c>
      <c r="E3" s="91"/>
      <c r="F3" s="91"/>
      <c r="G3" s="91"/>
      <c r="H3" s="91"/>
      <c r="I3" s="91"/>
      <c r="J3" s="91"/>
    </row>
    <row r="4" spans="1:14" ht="93" customHeight="1" x14ac:dyDescent="0.3">
      <c r="A4" s="92" t="s">
        <v>126</v>
      </c>
      <c r="B4" s="93"/>
      <c r="C4" s="93"/>
      <c r="D4" s="93"/>
      <c r="E4" s="93"/>
      <c r="F4" s="93"/>
      <c r="G4" s="93"/>
      <c r="H4" s="93"/>
      <c r="I4" s="93"/>
      <c r="J4" s="93"/>
    </row>
    <row r="5" spans="1:14" ht="18.75" x14ac:dyDescent="0.3">
      <c r="A5" s="52"/>
      <c r="B5" s="53"/>
      <c r="C5" s="53"/>
      <c r="D5" s="53"/>
      <c r="E5" s="53"/>
      <c r="F5" s="52"/>
      <c r="G5" s="52"/>
      <c r="H5" s="52"/>
      <c r="I5" s="52"/>
      <c r="J5" s="52"/>
    </row>
    <row r="6" spans="1:14" ht="15" customHeight="1" x14ac:dyDescent="0.25">
      <c r="A6" s="94" t="s">
        <v>1</v>
      </c>
      <c r="B6" s="96" t="s">
        <v>2</v>
      </c>
      <c r="C6" s="97"/>
      <c r="D6" s="97"/>
      <c r="E6" s="97"/>
      <c r="F6" s="97"/>
      <c r="G6" s="97"/>
      <c r="H6" s="97"/>
      <c r="I6" s="98"/>
      <c r="J6" s="102" t="s">
        <v>9</v>
      </c>
    </row>
    <row r="7" spans="1:14" ht="32.25" customHeight="1" x14ac:dyDescent="0.25">
      <c r="A7" s="95"/>
      <c r="B7" s="99"/>
      <c r="C7" s="100"/>
      <c r="D7" s="100"/>
      <c r="E7" s="100"/>
      <c r="F7" s="100"/>
      <c r="G7" s="100"/>
      <c r="H7" s="100"/>
      <c r="I7" s="101"/>
      <c r="J7" s="102"/>
    </row>
    <row r="8" spans="1:14" ht="69" customHeight="1" x14ac:dyDescent="0.25">
      <c r="A8" s="60">
        <v>1</v>
      </c>
      <c r="B8" s="127" t="s">
        <v>14</v>
      </c>
      <c r="C8" s="128"/>
      <c r="D8" s="128"/>
      <c r="E8" s="128"/>
      <c r="F8" s="128"/>
      <c r="G8" s="128"/>
      <c r="H8" s="128"/>
      <c r="I8" s="129"/>
      <c r="J8" s="61">
        <v>26573</v>
      </c>
    </row>
    <row r="9" spans="1:14" ht="56.25" customHeight="1" x14ac:dyDescent="0.25">
      <c r="A9" s="60">
        <f>A8+1</f>
        <v>2</v>
      </c>
      <c r="B9" s="127" t="s">
        <v>15</v>
      </c>
      <c r="C9" s="128"/>
      <c r="D9" s="128"/>
      <c r="E9" s="128"/>
      <c r="F9" s="128"/>
      <c r="G9" s="128"/>
      <c r="H9" s="128"/>
      <c r="I9" s="129"/>
      <c r="J9" s="61">
        <v>433200</v>
      </c>
    </row>
    <row r="10" spans="1:14" ht="35.25" customHeight="1" x14ac:dyDescent="0.25">
      <c r="A10" s="60">
        <f>A9+1</f>
        <v>3</v>
      </c>
      <c r="B10" s="127" t="s">
        <v>16</v>
      </c>
      <c r="C10" s="128"/>
      <c r="D10" s="128"/>
      <c r="E10" s="128"/>
      <c r="F10" s="128"/>
      <c r="G10" s="128"/>
      <c r="H10" s="128"/>
      <c r="I10" s="129"/>
      <c r="J10" s="61">
        <v>5312.9</v>
      </c>
      <c r="N10" s="4"/>
    </row>
    <row r="11" spans="1:14" ht="15" customHeight="1" x14ac:dyDescent="0.25">
      <c r="A11" s="112" t="s">
        <v>5</v>
      </c>
      <c r="B11" s="112"/>
      <c r="C11" s="112"/>
      <c r="D11" s="112"/>
      <c r="E11" s="112"/>
      <c r="F11" s="112"/>
      <c r="G11" s="112"/>
      <c r="H11" s="112"/>
      <c r="I11" s="112"/>
      <c r="J11" s="113">
        <f>SUM(J8:J10)</f>
        <v>465085.9</v>
      </c>
    </row>
    <row r="12" spans="1:14" ht="15" customHeight="1" x14ac:dyDescent="0.25">
      <c r="A12" s="112"/>
      <c r="B12" s="112"/>
      <c r="C12" s="112"/>
      <c r="D12" s="112"/>
      <c r="E12" s="112"/>
      <c r="F12" s="112"/>
      <c r="G12" s="112"/>
      <c r="H12" s="112"/>
      <c r="I12" s="112"/>
      <c r="J12" s="113"/>
    </row>
    <row r="13" spans="1:14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4" ht="15.75" x14ac:dyDescent="0.25">
      <c r="A14" s="90" t="s">
        <v>129</v>
      </c>
      <c r="B14" s="90"/>
      <c r="C14" s="90"/>
      <c r="D14" s="90"/>
      <c r="E14" s="90"/>
      <c r="F14" s="90"/>
      <c r="G14" s="90"/>
      <c r="H14" s="90"/>
      <c r="I14" s="90"/>
      <c r="J14" s="90"/>
    </row>
    <row r="15" spans="1:14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</row>
  </sheetData>
  <mergeCells count="12">
    <mergeCell ref="A14:J14"/>
    <mergeCell ref="G2:J2"/>
    <mergeCell ref="D3:J3"/>
    <mergeCell ref="A4:J4"/>
    <mergeCell ref="A6:A7"/>
    <mergeCell ref="B6:I7"/>
    <mergeCell ref="J6:J7"/>
    <mergeCell ref="B8:I8"/>
    <mergeCell ref="B9:I9"/>
    <mergeCell ref="B10:I10"/>
    <mergeCell ref="A11:I12"/>
    <mergeCell ref="J11:J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opLeftCell="N1" workbookViewId="0">
      <selection activeCell="W3" sqref="W3:Z3"/>
    </sheetView>
  </sheetViews>
  <sheetFormatPr defaultRowHeight="15" x14ac:dyDescent="0.25"/>
  <cols>
    <col min="1" max="13" width="9.140625" hidden="1" customWidth="1"/>
    <col min="14" max="14" width="6.42578125" customWidth="1"/>
    <col min="16" max="16" width="13.5703125" customWidth="1"/>
    <col min="17" max="21" width="9.140625" hidden="1" customWidth="1"/>
    <col min="22" max="22" width="13.140625" customWidth="1"/>
    <col min="23" max="23" width="12.85546875" customWidth="1"/>
    <col min="24" max="24" width="10.28515625" customWidth="1"/>
    <col min="25" max="25" width="9.85546875" customWidth="1"/>
    <col min="26" max="26" width="11.85546875" customWidth="1"/>
  </cols>
  <sheetData>
    <row r="1" spans="1:26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/>
      <c r="W1" s="27"/>
      <c r="X1" s="28"/>
      <c r="Y1" s="26"/>
      <c r="Z1" s="26" t="s">
        <v>11</v>
      </c>
    </row>
    <row r="2" spans="1:26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  <c r="W2" s="27"/>
      <c r="X2" s="133" t="s">
        <v>130</v>
      </c>
      <c r="Y2" s="133"/>
      <c r="Z2" s="133"/>
    </row>
    <row r="3" spans="1:26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25"/>
      <c r="P3" s="25"/>
      <c r="Q3" s="25"/>
      <c r="R3" s="25"/>
      <c r="S3" s="25"/>
      <c r="T3" s="25"/>
      <c r="U3" s="25"/>
      <c r="V3" s="27"/>
      <c r="W3" s="134" t="s">
        <v>242</v>
      </c>
      <c r="X3" s="134"/>
      <c r="Y3" s="134"/>
      <c r="Z3" s="134"/>
    </row>
    <row r="4" spans="1:26" ht="15.75" customHeight="1" x14ac:dyDescent="0.25">
      <c r="A4" s="135" t="s">
        <v>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</row>
    <row r="5" spans="1:26" ht="15.75" customHeight="1" x14ac:dyDescent="0.2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</row>
    <row r="6" spans="1:26" ht="18" customHeight="1" x14ac:dyDescent="0.2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</row>
    <row r="7" spans="1:26" x14ac:dyDescent="0.25">
      <c r="A7" s="136"/>
      <c r="B7" s="137"/>
      <c r="C7" s="137"/>
      <c r="D7" s="137"/>
      <c r="E7" s="137"/>
      <c r="F7" s="137"/>
      <c r="G7" s="137"/>
      <c r="H7" s="137"/>
      <c r="I7" s="137"/>
      <c r="J7" s="138"/>
      <c r="K7" s="138"/>
      <c r="L7" s="139"/>
      <c r="M7" s="140"/>
      <c r="N7" s="7"/>
      <c r="O7" s="25"/>
      <c r="P7" s="25"/>
      <c r="Q7" s="25"/>
      <c r="R7" s="25"/>
      <c r="S7" s="25"/>
      <c r="T7" s="25"/>
      <c r="U7" s="25"/>
      <c r="V7" s="26"/>
      <c r="W7" s="27"/>
      <c r="X7" s="28"/>
      <c r="Y7" s="26"/>
      <c r="Z7" s="31"/>
    </row>
    <row r="8" spans="1:26" x14ac:dyDescent="0.25">
      <c r="A8" s="136"/>
      <c r="B8" s="137"/>
      <c r="C8" s="137"/>
      <c r="D8" s="137"/>
      <c r="E8" s="137"/>
      <c r="F8" s="137"/>
      <c r="G8" s="137"/>
      <c r="H8" s="137"/>
      <c r="I8" s="137"/>
      <c r="J8" s="138"/>
      <c r="K8" s="138"/>
      <c r="L8" s="139"/>
      <c r="M8" s="140"/>
      <c r="N8" s="7"/>
      <c r="O8" s="25"/>
      <c r="P8" s="25"/>
      <c r="Q8" s="25"/>
      <c r="R8" s="25"/>
      <c r="S8" s="25"/>
      <c r="T8" s="25"/>
      <c r="U8" s="25"/>
      <c r="V8" s="26"/>
      <c r="W8" s="27"/>
      <c r="X8" s="28"/>
      <c r="Y8" s="26"/>
      <c r="Z8" s="31"/>
    </row>
    <row r="9" spans="1:26" ht="240" x14ac:dyDescent="0.25">
      <c r="A9" s="136"/>
      <c r="B9" s="137"/>
      <c r="C9" s="137"/>
      <c r="D9" s="137"/>
      <c r="E9" s="137"/>
      <c r="F9" s="137"/>
      <c r="G9" s="137"/>
      <c r="H9" s="137"/>
      <c r="I9" s="137"/>
      <c r="J9" s="138"/>
      <c r="K9" s="138"/>
      <c r="L9" s="139"/>
      <c r="M9" s="140"/>
      <c r="N9" s="8" t="s">
        <v>131</v>
      </c>
      <c r="O9" s="141" t="s">
        <v>2</v>
      </c>
      <c r="P9" s="141"/>
      <c r="Q9" s="32"/>
      <c r="R9" s="32"/>
      <c r="S9" s="32"/>
      <c r="T9" s="32"/>
      <c r="U9" s="32"/>
      <c r="V9" s="9" t="s">
        <v>132</v>
      </c>
      <c r="W9" s="10" t="s">
        <v>133</v>
      </c>
      <c r="X9" s="11" t="s">
        <v>3</v>
      </c>
      <c r="Y9" s="11" t="s">
        <v>4</v>
      </c>
      <c r="Z9" s="33" t="s">
        <v>134</v>
      </c>
    </row>
    <row r="10" spans="1:26" ht="18.75" x14ac:dyDescent="0.3">
      <c r="A10" s="34"/>
      <c r="B10" s="130"/>
      <c r="C10" s="130"/>
      <c r="D10" s="130"/>
      <c r="E10" s="130"/>
      <c r="F10" s="130"/>
      <c r="G10" s="130"/>
      <c r="H10" s="130"/>
      <c r="I10" s="130"/>
      <c r="J10" s="12"/>
      <c r="K10" s="13"/>
      <c r="L10" s="13"/>
      <c r="M10" s="13"/>
      <c r="N10" s="14">
        <v>1</v>
      </c>
      <c r="O10" s="131" t="s">
        <v>135</v>
      </c>
      <c r="P10" s="131"/>
      <c r="Q10" s="131"/>
      <c r="R10" s="131"/>
      <c r="S10" s="131"/>
      <c r="T10" s="131"/>
      <c r="U10" s="131"/>
      <c r="V10" s="15">
        <v>11697</v>
      </c>
      <c r="W10" s="35">
        <f>79500+108869.36+76630.64</f>
        <v>265000</v>
      </c>
      <c r="X10" s="35">
        <f>2316.1+949.71</f>
        <v>3265.81</v>
      </c>
      <c r="Y10" s="16"/>
      <c r="Z10" s="36">
        <f t="shared" ref="Z10:Z63" si="0">V10+W10+X10+Y10</f>
        <v>279962.81</v>
      </c>
    </row>
    <row r="11" spans="1:26" ht="18.75" x14ac:dyDescent="0.3">
      <c r="A11" s="34"/>
      <c r="B11" s="130"/>
      <c r="C11" s="130"/>
      <c r="D11" s="130"/>
      <c r="E11" s="130"/>
      <c r="F11" s="130"/>
      <c r="G11" s="130"/>
      <c r="H11" s="130"/>
      <c r="I11" s="130"/>
      <c r="J11" s="12"/>
      <c r="K11" s="13"/>
      <c r="L11" s="13"/>
      <c r="M11" s="17"/>
      <c r="N11" s="14">
        <f>N10+1</f>
        <v>2</v>
      </c>
      <c r="O11" s="131" t="s">
        <v>136</v>
      </c>
      <c r="P11" s="132"/>
      <c r="Q11" s="132"/>
      <c r="R11" s="132"/>
      <c r="S11" s="132"/>
      <c r="T11" s="132"/>
      <c r="U11" s="132"/>
      <c r="V11" s="15">
        <v>11697</v>
      </c>
      <c r="W11" s="35">
        <f>77135.1+179981.9</f>
        <v>257117</v>
      </c>
      <c r="X11" s="35">
        <v>3171.48</v>
      </c>
      <c r="Y11" s="37">
        <v>1399.97</v>
      </c>
      <c r="Z11" s="36">
        <f t="shared" si="0"/>
        <v>273385.44999999995</v>
      </c>
    </row>
    <row r="12" spans="1:26" ht="18.75" x14ac:dyDescent="0.3">
      <c r="A12" s="34"/>
      <c r="B12" s="130"/>
      <c r="C12" s="130"/>
      <c r="D12" s="130"/>
      <c r="E12" s="130"/>
      <c r="F12" s="130"/>
      <c r="G12" s="130"/>
      <c r="H12" s="130"/>
      <c r="I12" s="130"/>
      <c r="J12" s="12"/>
      <c r="K12" s="13"/>
      <c r="L12" s="13"/>
      <c r="M12" s="17"/>
      <c r="N12" s="14">
        <f t="shared" ref="N12:N75" si="1">N11+1</f>
        <v>3</v>
      </c>
      <c r="O12" s="131" t="s">
        <v>137</v>
      </c>
      <c r="P12" s="131"/>
      <c r="Q12" s="131"/>
      <c r="R12" s="131"/>
      <c r="S12" s="131"/>
      <c r="T12" s="131"/>
      <c r="U12" s="131"/>
      <c r="V12" s="15">
        <v>15259</v>
      </c>
      <c r="W12" s="35">
        <f>105250+239225.6</f>
        <v>344475.6</v>
      </c>
      <c r="X12" s="35">
        <f>4207.84</f>
        <v>4207.84</v>
      </c>
      <c r="Y12" s="37"/>
      <c r="Z12" s="36">
        <f t="shared" si="0"/>
        <v>363942.44</v>
      </c>
    </row>
    <row r="13" spans="1:26" ht="18.75" x14ac:dyDescent="0.3">
      <c r="A13" s="34"/>
      <c r="B13" s="130"/>
      <c r="C13" s="130"/>
      <c r="D13" s="130"/>
      <c r="E13" s="130"/>
      <c r="F13" s="130"/>
      <c r="G13" s="130"/>
      <c r="H13" s="130"/>
      <c r="I13" s="130"/>
      <c r="J13" s="12"/>
      <c r="K13" s="13"/>
      <c r="L13" s="13"/>
      <c r="M13" s="17"/>
      <c r="N13" s="14">
        <f t="shared" si="1"/>
        <v>4</v>
      </c>
      <c r="O13" s="131" t="s">
        <v>138</v>
      </c>
      <c r="P13" s="131"/>
      <c r="Q13" s="131"/>
      <c r="R13" s="131"/>
      <c r="S13" s="131"/>
      <c r="T13" s="131"/>
      <c r="U13" s="131"/>
      <c r="V13" s="15">
        <v>15259</v>
      </c>
      <c r="W13" s="35">
        <f>108480+246123.6</f>
        <v>354603.6</v>
      </c>
      <c r="X13" s="35">
        <f>4328.43</f>
        <v>4328.43</v>
      </c>
      <c r="Y13" s="37"/>
      <c r="Z13" s="36">
        <f t="shared" si="0"/>
        <v>374191.02999999997</v>
      </c>
    </row>
    <row r="14" spans="1:26" ht="18.75" x14ac:dyDescent="0.3">
      <c r="A14" s="34"/>
      <c r="B14" s="130"/>
      <c r="C14" s="130"/>
      <c r="D14" s="130"/>
      <c r="E14" s="130"/>
      <c r="F14" s="130"/>
      <c r="G14" s="130"/>
      <c r="H14" s="130"/>
      <c r="I14" s="130"/>
      <c r="J14" s="12"/>
      <c r="K14" s="13"/>
      <c r="L14" s="13"/>
      <c r="M14" s="17"/>
      <c r="N14" s="14">
        <f t="shared" si="1"/>
        <v>5</v>
      </c>
      <c r="O14" s="131" t="s">
        <v>139</v>
      </c>
      <c r="P14" s="131"/>
      <c r="Q14" s="131"/>
      <c r="R14" s="131"/>
      <c r="S14" s="131"/>
      <c r="T14" s="131"/>
      <c r="U14" s="131"/>
      <c r="V14" s="15">
        <v>11697</v>
      </c>
      <c r="W14" s="38">
        <f>80699.4+188298.6</f>
        <v>268998</v>
      </c>
      <c r="X14" s="35">
        <v>3320.58</v>
      </c>
      <c r="Y14" s="37">
        <v>1399.97</v>
      </c>
      <c r="Z14" s="36">
        <f t="shared" si="0"/>
        <v>285415.55</v>
      </c>
    </row>
    <row r="15" spans="1:26" ht="18.75" x14ac:dyDescent="0.3">
      <c r="A15" s="34"/>
      <c r="B15" s="130"/>
      <c r="C15" s="130"/>
      <c r="D15" s="130"/>
      <c r="E15" s="130"/>
      <c r="F15" s="130"/>
      <c r="G15" s="130"/>
      <c r="H15" s="130"/>
      <c r="I15" s="130"/>
      <c r="J15" s="12"/>
      <c r="K15" s="13"/>
      <c r="L15" s="13"/>
      <c r="M15" s="17"/>
      <c r="N15" s="14">
        <f t="shared" si="1"/>
        <v>6</v>
      </c>
      <c r="O15" s="131" t="s">
        <v>140</v>
      </c>
      <c r="P15" s="132"/>
      <c r="Q15" s="132"/>
      <c r="R15" s="132"/>
      <c r="S15" s="132"/>
      <c r="T15" s="132"/>
      <c r="U15" s="132"/>
      <c r="V15" s="15">
        <v>11697</v>
      </c>
      <c r="W15" s="38">
        <f>80397.3+187593.7</f>
        <v>267991</v>
      </c>
      <c r="X15" s="35">
        <v>3306.92</v>
      </c>
      <c r="Y15" s="37">
        <v>1399.97</v>
      </c>
      <c r="Z15" s="36">
        <f t="shared" si="0"/>
        <v>284394.88999999996</v>
      </c>
    </row>
    <row r="16" spans="1:26" ht="18.75" x14ac:dyDescent="0.25">
      <c r="A16" s="39"/>
      <c r="B16" s="142"/>
      <c r="C16" s="142"/>
      <c r="D16" s="142"/>
      <c r="E16" s="142"/>
      <c r="F16" s="142"/>
      <c r="G16" s="142"/>
      <c r="H16" s="142"/>
      <c r="I16" s="142"/>
      <c r="J16" s="12"/>
      <c r="K16" s="13"/>
      <c r="L16" s="13"/>
      <c r="M16" s="17"/>
      <c r="N16" s="14">
        <f t="shared" si="1"/>
        <v>7</v>
      </c>
      <c r="O16" s="131" t="s">
        <v>141</v>
      </c>
      <c r="P16" s="132"/>
      <c r="Q16" s="132"/>
      <c r="R16" s="132"/>
      <c r="S16" s="132"/>
      <c r="T16" s="132"/>
      <c r="U16" s="132"/>
      <c r="V16" s="15">
        <v>11697</v>
      </c>
      <c r="W16" s="35">
        <f>83096.7+193892.3</f>
        <v>276989</v>
      </c>
      <c r="X16" s="35">
        <v>3419.28</v>
      </c>
      <c r="Y16" s="37">
        <v>1399.97</v>
      </c>
      <c r="Z16" s="36">
        <f t="shared" si="0"/>
        <v>293505.25</v>
      </c>
    </row>
    <row r="17" spans="1:26" ht="18.75" x14ac:dyDescent="0.3">
      <c r="A17" s="34"/>
      <c r="B17" s="24"/>
      <c r="C17" s="24"/>
      <c r="D17" s="24"/>
      <c r="E17" s="24"/>
      <c r="F17" s="24"/>
      <c r="G17" s="24"/>
      <c r="H17" s="24"/>
      <c r="I17" s="24"/>
      <c r="J17" s="12"/>
      <c r="K17" s="13"/>
      <c r="L17" s="13"/>
      <c r="M17" s="17"/>
      <c r="N17" s="14">
        <f t="shared" si="1"/>
        <v>8</v>
      </c>
      <c r="O17" s="131" t="s">
        <v>142</v>
      </c>
      <c r="P17" s="132"/>
      <c r="Q17" s="132"/>
      <c r="R17" s="132"/>
      <c r="S17" s="132"/>
      <c r="T17" s="132"/>
      <c r="U17" s="132"/>
      <c r="V17" s="15">
        <v>11697</v>
      </c>
      <c r="W17" s="35">
        <f>80100+107949.55+78950.45</f>
        <v>267000</v>
      </c>
      <c r="X17" s="35">
        <f>2317.85+978.46</f>
        <v>3296.31</v>
      </c>
      <c r="Y17" s="37"/>
      <c r="Z17" s="36">
        <f t="shared" si="0"/>
        <v>281993.31</v>
      </c>
    </row>
    <row r="18" spans="1:26" ht="18.75" x14ac:dyDescent="0.3">
      <c r="A18" s="34"/>
      <c r="B18" s="24"/>
      <c r="C18" s="24"/>
      <c r="D18" s="24"/>
      <c r="E18" s="24"/>
      <c r="F18" s="24"/>
      <c r="G18" s="24"/>
      <c r="H18" s="24"/>
      <c r="I18" s="24"/>
      <c r="J18" s="12"/>
      <c r="K18" s="13"/>
      <c r="L18" s="13"/>
      <c r="M18" s="17"/>
      <c r="N18" s="14">
        <f t="shared" si="1"/>
        <v>9</v>
      </c>
      <c r="O18" s="131" t="s">
        <v>143</v>
      </c>
      <c r="P18" s="132"/>
      <c r="Q18" s="132"/>
      <c r="R18" s="132"/>
      <c r="S18" s="132"/>
      <c r="T18" s="132"/>
      <c r="U18" s="132"/>
      <c r="V18" s="15">
        <v>11697</v>
      </c>
      <c r="W18" s="38">
        <f>69100+110035+51203</f>
        <v>230338</v>
      </c>
      <c r="X18" s="35">
        <f>2527.59+691.17</f>
        <v>3218.76</v>
      </c>
      <c r="Y18" s="37">
        <v>1399.97</v>
      </c>
      <c r="Z18" s="36">
        <f t="shared" si="0"/>
        <v>246653.73</v>
      </c>
    </row>
    <row r="19" spans="1:26" ht="18.75" x14ac:dyDescent="0.3">
      <c r="A19" s="34"/>
      <c r="B19" s="24"/>
      <c r="C19" s="24"/>
      <c r="D19" s="24"/>
      <c r="E19" s="24"/>
      <c r="F19" s="24"/>
      <c r="G19" s="24"/>
      <c r="H19" s="24"/>
      <c r="I19" s="24"/>
      <c r="J19" s="12"/>
      <c r="K19" s="13"/>
      <c r="L19" s="13"/>
      <c r="M19" s="17"/>
      <c r="N19" s="14">
        <f t="shared" si="1"/>
        <v>10</v>
      </c>
      <c r="O19" s="131" t="s">
        <v>144</v>
      </c>
      <c r="P19" s="132"/>
      <c r="Q19" s="132"/>
      <c r="R19" s="132"/>
      <c r="S19" s="132"/>
      <c r="T19" s="132"/>
      <c r="U19" s="132"/>
      <c r="V19" s="15">
        <v>11697</v>
      </c>
      <c r="W19" s="38">
        <f>69115+110677+46167+4426</f>
        <v>230385</v>
      </c>
      <c r="X19" s="35">
        <f>2514.6+705.07</f>
        <v>3219.67</v>
      </c>
      <c r="Y19" s="37">
        <v>1399.97</v>
      </c>
      <c r="Z19" s="36">
        <f t="shared" si="0"/>
        <v>246701.64</v>
      </c>
    </row>
    <row r="20" spans="1:26" ht="18.75" x14ac:dyDescent="0.3">
      <c r="A20" s="34"/>
      <c r="B20" s="24"/>
      <c r="C20" s="24"/>
      <c r="D20" s="24"/>
      <c r="E20" s="24"/>
      <c r="F20" s="24"/>
      <c r="G20" s="24"/>
      <c r="H20" s="24"/>
      <c r="I20" s="24"/>
      <c r="J20" s="12"/>
      <c r="K20" s="13"/>
      <c r="L20" s="13"/>
      <c r="M20" s="17"/>
      <c r="N20" s="14">
        <f t="shared" si="1"/>
        <v>11</v>
      </c>
      <c r="O20" s="131" t="s">
        <v>145</v>
      </c>
      <c r="P20" s="132"/>
      <c r="Q20" s="132"/>
      <c r="R20" s="132"/>
      <c r="S20" s="132"/>
      <c r="T20" s="132"/>
      <c r="U20" s="132"/>
      <c r="V20" s="15">
        <v>11697</v>
      </c>
      <c r="W20" s="38">
        <f>69346+111089+46167+4552</f>
        <v>231154</v>
      </c>
      <c r="X20" s="35">
        <f>2522.92+705.96</f>
        <v>3228.88</v>
      </c>
      <c r="Y20" s="37">
        <v>1399.97</v>
      </c>
      <c r="Z20" s="36">
        <f t="shared" si="0"/>
        <v>247479.85</v>
      </c>
    </row>
    <row r="21" spans="1:26" ht="18.75" x14ac:dyDescent="0.3">
      <c r="A21" s="34"/>
      <c r="B21" s="24"/>
      <c r="C21" s="24"/>
      <c r="D21" s="24"/>
      <c r="E21" s="24"/>
      <c r="F21" s="24"/>
      <c r="G21" s="24"/>
      <c r="H21" s="24"/>
      <c r="I21" s="24"/>
      <c r="J21" s="12"/>
      <c r="K21" s="13"/>
      <c r="L21" s="13"/>
      <c r="M21" s="17"/>
      <c r="N21" s="14">
        <f t="shared" si="1"/>
        <v>12</v>
      </c>
      <c r="O21" s="131" t="s">
        <v>146</v>
      </c>
      <c r="P21" s="132"/>
      <c r="Q21" s="132"/>
      <c r="R21" s="132"/>
      <c r="S21" s="132"/>
      <c r="T21" s="132"/>
      <c r="U21" s="132"/>
      <c r="V21" s="15">
        <v>11697</v>
      </c>
      <c r="W21" s="38">
        <f>69109+161155</f>
        <v>230264</v>
      </c>
      <c r="X21" s="35">
        <f>3227.98</f>
        <v>3227.98</v>
      </c>
      <c r="Y21" s="37"/>
      <c r="Z21" s="36">
        <f t="shared" si="0"/>
        <v>245188.98</v>
      </c>
    </row>
    <row r="22" spans="1:26" ht="18.75" x14ac:dyDescent="0.3">
      <c r="A22" s="34"/>
      <c r="B22" s="24"/>
      <c r="C22" s="24"/>
      <c r="D22" s="24"/>
      <c r="E22" s="24"/>
      <c r="F22" s="24"/>
      <c r="G22" s="24"/>
      <c r="H22" s="24"/>
      <c r="I22" s="24"/>
      <c r="J22" s="12"/>
      <c r="K22" s="13"/>
      <c r="L22" s="13"/>
      <c r="M22" s="17"/>
      <c r="N22" s="14">
        <f t="shared" si="1"/>
        <v>13</v>
      </c>
      <c r="O22" s="131" t="s">
        <v>147</v>
      </c>
      <c r="P22" s="132"/>
      <c r="Q22" s="132"/>
      <c r="R22" s="132"/>
      <c r="S22" s="132"/>
      <c r="T22" s="132"/>
      <c r="U22" s="132"/>
      <c r="V22" s="15">
        <v>11697</v>
      </c>
      <c r="W22" s="38">
        <f>68804+160543</f>
        <v>229347</v>
      </c>
      <c r="X22" s="35">
        <f>1032.06+2136.66</f>
        <v>3168.72</v>
      </c>
      <c r="Y22" s="37"/>
      <c r="Z22" s="36">
        <f t="shared" si="0"/>
        <v>244212.72</v>
      </c>
    </row>
    <row r="23" spans="1:26" ht="18.75" x14ac:dyDescent="0.3">
      <c r="A23" s="34"/>
      <c r="B23" s="24"/>
      <c r="C23" s="24"/>
      <c r="D23" s="24"/>
      <c r="E23" s="24"/>
      <c r="F23" s="24"/>
      <c r="G23" s="24"/>
      <c r="H23" s="24"/>
      <c r="I23" s="24"/>
      <c r="J23" s="12"/>
      <c r="K23" s="13"/>
      <c r="L23" s="13"/>
      <c r="M23" s="17"/>
      <c r="N23" s="14">
        <f t="shared" si="1"/>
        <v>14</v>
      </c>
      <c r="O23" s="131" t="s">
        <v>148</v>
      </c>
      <c r="P23" s="132"/>
      <c r="Q23" s="132"/>
      <c r="R23" s="132"/>
      <c r="S23" s="132"/>
      <c r="T23" s="132"/>
      <c r="U23" s="132"/>
      <c r="V23" s="15">
        <v>11697</v>
      </c>
      <c r="W23" s="35">
        <f>67880+74020.4+84391.6</f>
        <v>226292</v>
      </c>
      <c r="X23" s="35">
        <f>1853.04+919.59</f>
        <v>2772.63</v>
      </c>
      <c r="Y23" s="37"/>
      <c r="Z23" s="36">
        <f t="shared" si="0"/>
        <v>240761.63</v>
      </c>
    </row>
    <row r="24" spans="1:26" ht="18.75" x14ac:dyDescent="0.3">
      <c r="A24" s="34"/>
      <c r="B24" s="24"/>
      <c r="C24" s="24"/>
      <c r="D24" s="24"/>
      <c r="E24" s="24"/>
      <c r="F24" s="24"/>
      <c r="G24" s="24"/>
      <c r="H24" s="24"/>
      <c r="I24" s="24"/>
      <c r="J24" s="12"/>
      <c r="K24" s="13"/>
      <c r="L24" s="13"/>
      <c r="M24" s="17"/>
      <c r="N24" s="14">
        <f t="shared" si="1"/>
        <v>15</v>
      </c>
      <c r="O24" s="131" t="s">
        <v>149</v>
      </c>
      <c r="P24" s="132"/>
      <c r="Q24" s="132"/>
      <c r="R24" s="132"/>
      <c r="S24" s="132"/>
      <c r="T24" s="132"/>
      <c r="U24" s="132"/>
      <c r="V24" s="15">
        <v>11697</v>
      </c>
      <c r="W24" s="38">
        <f>67860+115079+43263</f>
        <v>226202</v>
      </c>
      <c r="X24" s="35">
        <f>2581.55+574.54</f>
        <v>3156.09</v>
      </c>
      <c r="Y24" s="37">
        <v>1399.97</v>
      </c>
      <c r="Z24" s="36">
        <f t="shared" si="0"/>
        <v>242455.06</v>
      </c>
    </row>
    <row r="25" spans="1:26" ht="18.75" x14ac:dyDescent="0.3">
      <c r="A25" s="34"/>
      <c r="B25" s="24"/>
      <c r="C25" s="24"/>
      <c r="D25" s="24"/>
      <c r="E25" s="24"/>
      <c r="F25" s="24"/>
      <c r="G25" s="24"/>
      <c r="H25" s="24"/>
      <c r="I25" s="24"/>
      <c r="J25" s="12"/>
      <c r="K25" s="13"/>
      <c r="L25" s="13"/>
      <c r="M25" s="17"/>
      <c r="N25" s="14">
        <f t="shared" si="1"/>
        <v>16</v>
      </c>
      <c r="O25" s="131" t="s">
        <v>150</v>
      </c>
      <c r="P25" s="132"/>
      <c r="Q25" s="132"/>
      <c r="R25" s="132"/>
      <c r="S25" s="132"/>
      <c r="T25" s="132"/>
      <c r="U25" s="132"/>
      <c r="V25" s="15">
        <v>11697</v>
      </c>
      <c r="W25" s="38">
        <f>67680+114880+43043</f>
        <v>225603</v>
      </c>
      <c r="X25" s="35">
        <f>2576.4+571.84</f>
        <v>3148.2400000000002</v>
      </c>
      <c r="Y25" s="37"/>
      <c r="Z25" s="36">
        <f t="shared" si="0"/>
        <v>240448.24</v>
      </c>
    </row>
    <row r="26" spans="1:26" ht="18.75" x14ac:dyDescent="0.3">
      <c r="A26" s="34"/>
      <c r="B26" s="24"/>
      <c r="C26" s="24"/>
      <c r="D26" s="24"/>
      <c r="E26" s="24"/>
      <c r="F26" s="24"/>
      <c r="G26" s="24"/>
      <c r="H26" s="24"/>
      <c r="I26" s="24"/>
      <c r="J26" s="12"/>
      <c r="K26" s="13"/>
      <c r="L26" s="13"/>
      <c r="M26" s="17"/>
      <c r="N26" s="14">
        <f t="shared" si="1"/>
        <v>17</v>
      </c>
      <c r="O26" s="131" t="s">
        <v>151</v>
      </c>
      <c r="P26" s="132"/>
      <c r="Q26" s="132"/>
      <c r="R26" s="132"/>
      <c r="S26" s="132"/>
      <c r="T26" s="132"/>
      <c r="U26" s="132"/>
      <c r="V26" s="15">
        <v>11697</v>
      </c>
      <c r="W26" s="38">
        <f>67902+114756+43683</f>
        <v>226341</v>
      </c>
      <c r="X26" s="35">
        <f>2578.15+579.75</f>
        <v>3157.9</v>
      </c>
      <c r="Y26" s="37">
        <v>1399.97</v>
      </c>
      <c r="Z26" s="36">
        <f t="shared" si="0"/>
        <v>242595.87</v>
      </c>
    </row>
    <row r="27" spans="1:26" ht="18.75" x14ac:dyDescent="0.3">
      <c r="A27" s="34"/>
      <c r="B27" s="24"/>
      <c r="C27" s="24"/>
      <c r="D27" s="24"/>
      <c r="E27" s="24"/>
      <c r="F27" s="24"/>
      <c r="G27" s="24"/>
      <c r="H27" s="24"/>
      <c r="I27" s="24"/>
      <c r="J27" s="12"/>
      <c r="K27" s="13"/>
      <c r="L27" s="13"/>
      <c r="M27" s="17"/>
      <c r="N27" s="14">
        <f t="shared" si="1"/>
        <v>18</v>
      </c>
      <c r="O27" s="131" t="s">
        <v>152</v>
      </c>
      <c r="P27" s="132"/>
      <c r="Q27" s="132"/>
      <c r="R27" s="132"/>
      <c r="S27" s="132"/>
      <c r="T27" s="132"/>
      <c r="U27" s="132"/>
      <c r="V27" s="15">
        <v>11697</v>
      </c>
      <c r="W27" s="38">
        <f>67769+158129</f>
        <v>225898</v>
      </c>
      <c r="X27" s="35">
        <f>3153.03</f>
        <v>3153.03</v>
      </c>
      <c r="Y27" s="37"/>
      <c r="Z27" s="36">
        <f t="shared" si="0"/>
        <v>240748.03</v>
      </c>
    </row>
    <row r="28" spans="1:26" ht="18.75" x14ac:dyDescent="0.3">
      <c r="A28" s="34"/>
      <c r="B28" s="24"/>
      <c r="C28" s="24"/>
      <c r="D28" s="24"/>
      <c r="E28" s="24"/>
      <c r="F28" s="24"/>
      <c r="G28" s="24"/>
      <c r="H28" s="24"/>
      <c r="I28" s="24"/>
      <c r="J28" s="12"/>
      <c r="K28" s="13"/>
      <c r="L28" s="13"/>
      <c r="M28" s="17"/>
      <c r="N28" s="14">
        <f t="shared" si="1"/>
        <v>19</v>
      </c>
      <c r="O28" s="131" t="s">
        <v>153</v>
      </c>
      <c r="P28" s="132"/>
      <c r="Q28" s="132"/>
      <c r="R28" s="132"/>
      <c r="S28" s="132"/>
      <c r="T28" s="132"/>
      <c r="U28" s="132"/>
      <c r="V28" s="15">
        <v>11697</v>
      </c>
      <c r="W28" s="38">
        <f>67197.9+72121.1+81252</f>
        <v>220571</v>
      </c>
      <c r="X28" s="35">
        <f>1941.51+1150.45</f>
        <v>3091.96</v>
      </c>
      <c r="Y28" s="37"/>
      <c r="Z28" s="36">
        <f t="shared" si="0"/>
        <v>235359.96</v>
      </c>
    </row>
    <row r="29" spans="1:26" ht="18.75" x14ac:dyDescent="0.3">
      <c r="A29" s="34"/>
      <c r="B29" s="24"/>
      <c r="C29" s="24"/>
      <c r="D29" s="24"/>
      <c r="E29" s="24"/>
      <c r="F29" s="24"/>
      <c r="G29" s="24"/>
      <c r="H29" s="24"/>
      <c r="I29" s="24"/>
      <c r="J29" s="12"/>
      <c r="K29" s="13"/>
      <c r="L29" s="13"/>
      <c r="M29" s="17"/>
      <c r="N29" s="14">
        <f t="shared" si="1"/>
        <v>20</v>
      </c>
      <c r="O29" s="131" t="s">
        <v>154</v>
      </c>
      <c r="P29" s="132"/>
      <c r="Q29" s="132"/>
      <c r="R29" s="132"/>
      <c r="S29" s="132"/>
      <c r="T29" s="132"/>
      <c r="U29" s="132"/>
      <c r="V29" s="15">
        <v>11697</v>
      </c>
      <c r="W29" s="38">
        <f>68717+128111+32229</f>
        <v>229057</v>
      </c>
      <c r="X29" s="35">
        <f>960.75+1816.89+430.41</f>
        <v>3208.05</v>
      </c>
      <c r="Y29" s="37"/>
      <c r="Z29" s="36">
        <f t="shared" si="0"/>
        <v>243962.05</v>
      </c>
    </row>
    <row r="30" spans="1:26" ht="18.75" x14ac:dyDescent="0.3">
      <c r="A30" s="34"/>
      <c r="B30" s="24"/>
      <c r="C30" s="24"/>
      <c r="D30" s="24"/>
      <c r="E30" s="24"/>
      <c r="F30" s="24"/>
      <c r="G30" s="24"/>
      <c r="H30" s="24"/>
      <c r="I30" s="24"/>
      <c r="J30" s="12"/>
      <c r="K30" s="13"/>
      <c r="L30" s="13"/>
      <c r="M30" s="17"/>
      <c r="N30" s="14">
        <f t="shared" si="1"/>
        <v>21</v>
      </c>
      <c r="O30" s="131" t="s">
        <v>155</v>
      </c>
      <c r="P30" s="132"/>
      <c r="Q30" s="132"/>
      <c r="R30" s="132"/>
      <c r="S30" s="132"/>
      <c r="T30" s="132"/>
      <c r="U30" s="132"/>
      <c r="V30" s="15">
        <v>11697</v>
      </c>
      <c r="W30" s="38">
        <f>68717+128035+32305</f>
        <v>229057</v>
      </c>
      <c r="X30" s="35">
        <f>960.75+1824.5+422.8</f>
        <v>3208.05</v>
      </c>
      <c r="Y30" s="37"/>
      <c r="Z30" s="36">
        <f t="shared" si="0"/>
        <v>243962.05</v>
      </c>
    </row>
    <row r="31" spans="1:26" ht="18.75" x14ac:dyDescent="0.3">
      <c r="A31" s="34"/>
      <c r="B31" s="24"/>
      <c r="C31" s="24"/>
      <c r="D31" s="24"/>
      <c r="E31" s="24"/>
      <c r="F31" s="24"/>
      <c r="G31" s="24"/>
      <c r="H31" s="24"/>
      <c r="I31" s="24"/>
      <c r="J31" s="12"/>
      <c r="K31" s="13"/>
      <c r="L31" s="13"/>
      <c r="M31" s="17"/>
      <c r="N31" s="14">
        <f t="shared" si="1"/>
        <v>22</v>
      </c>
      <c r="O31" s="131" t="s">
        <v>156</v>
      </c>
      <c r="P31" s="132"/>
      <c r="Q31" s="132"/>
      <c r="R31" s="132"/>
      <c r="S31" s="132"/>
      <c r="T31" s="132"/>
      <c r="U31" s="132"/>
      <c r="V31" s="15">
        <v>11697</v>
      </c>
      <c r="W31" s="38">
        <f>68933+110183+50663</f>
        <v>229779</v>
      </c>
      <c r="X31" s="35">
        <f>2525.73+681.99</f>
        <v>3207.7200000000003</v>
      </c>
      <c r="Y31" s="37"/>
      <c r="Z31" s="36">
        <f t="shared" si="0"/>
        <v>244683.72</v>
      </c>
    </row>
    <row r="32" spans="1:26" ht="18.75" x14ac:dyDescent="0.3">
      <c r="A32" s="34"/>
      <c r="B32" s="24"/>
      <c r="C32" s="24"/>
      <c r="D32" s="24"/>
      <c r="E32" s="24"/>
      <c r="F32" s="24"/>
      <c r="G32" s="24"/>
      <c r="H32" s="24"/>
      <c r="I32" s="24"/>
      <c r="J32" s="12"/>
      <c r="K32" s="13"/>
      <c r="L32" s="13"/>
      <c r="M32" s="17"/>
      <c r="N32" s="14">
        <f t="shared" si="1"/>
        <v>23</v>
      </c>
      <c r="O32" s="131" t="s">
        <v>157</v>
      </c>
      <c r="P32" s="132"/>
      <c r="Q32" s="132"/>
      <c r="R32" s="132"/>
      <c r="S32" s="132"/>
      <c r="T32" s="132"/>
      <c r="U32" s="132"/>
      <c r="V32" s="15">
        <v>11697</v>
      </c>
      <c r="W32" s="38">
        <f>69286+123990+37679</f>
        <v>230955</v>
      </c>
      <c r="X32" s="35">
        <f>2723.28+500.88</f>
        <v>3224.1600000000003</v>
      </c>
      <c r="Y32" s="37"/>
      <c r="Z32" s="36">
        <f t="shared" si="0"/>
        <v>245876.16</v>
      </c>
    </row>
    <row r="33" spans="1:26" ht="18.75" x14ac:dyDescent="0.3">
      <c r="A33" s="34"/>
      <c r="B33" s="24"/>
      <c r="C33" s="24"/>
      <c r="D33" s="24"/>
      <c r="E33" s="24"/>
      <c r="F33" s="24"/>
      <c r="G33" s="24"/>
      <c r="H33" s="24"/>
      <c r="I33" s="24"/>
      <c r="J33" s="12"/>
      <c r="K33" s="13"/>
      <c r="L33" s="13"/>
      <c r="M33" s="17"/>
      <c r="N33" s="14">
        <f t="shared" si="1"/>
        <v>24</v>
      </c>
      <c r="O33" s="131" t="s">
        <v>158</v>
      </c>
      <c r="P33" s="132"/>
      <c r="Q33" s="132"/>
      <c r="R33" s="132"/>
      <c r="S33" s="132"/>
      <c r="T33" s="132"/>
      <c r="U33" s="132"/>
      <c r="V33" s="15">
        <v>11697</v>
      </c>
      <c r="W33" s="38">
        <f>68226+28865+130329</f>
        <v>227420</v>
      </c>
      <c r="X33" s="35">
        <f>953.76+403.53+1852.34</f>
        <v>3209.63</v>
      </c>
      <c r="Y33" s="37"/>
      <c r="Z33" s="36">
        <f t="shared" si="0"/>
        <v>242326.63</v>
      </c>
    </row>
    <row r="34" spans="1:26" ht="18.75" x14ac:dyDescent="0.3">
      <c r="A34" s="34"/>
      <c r="B34" s="24"/>
      <c r="C34" s="24"/>
      <c r="D34" s="24"/>
      <c r="E34" s="24"/>
      <c r="F34" s="24"/>
      <c r="G34" s="24"/>
      <c r="H34" s="24"/>
      <c r="I34" s="24"/>
      <c r="J34" s="12"/>
      <c r="K34" s="13"/>
      <c r="L34" s="13"/>
      <c r="M34" s="17"/>
      <c r="N34" s="14">
        <f t="shared" si="1"/>
        <v>25</v>
      </c>
      <c r="O34" s="131" t="s">
        <v>159</v>
      </c>
      <c r="P34" s="132"/>
      <c r="Q34" s="132"/>
      <c r="R34" s="132"/>
      <c r="S34" s="132"/>
      <c r="T34" s="132"/>
      <c r="U34" s="132"/>
      <c r="V34" s="15">
        <v>11697</v>
      </c>
      <c r="W34" s="38">
        <f>68975+132428+28515</f>
        <v>229918</v>
      </c>
      <c r="X34" s="35">
        <f>964.43+1876.52+378.96</f>
        <v>3219.91</v>
      </c>
      <c r="Y34" s="37"/>
      <c r="Z34" s="36">
        <f t="shared" si="0"/>
        <v>244834.91</v>
      </c>
    </row>
    <row r="35" spans="1:26" ht="18.75" x14ac:dyDescent="0.3">
      <c r="A35" s="34"/>
      <c r="B35" s="24"/>
      <c r="C35" s="24"/>
      <c r="D35" s="24"/>
      <c r="E35" s="24"/>
      <c r="F35" s="24"/>
      <c r="G35" s="24"/>
      <c r="H35" s="24"/>
      <c r="I35" s="24"/>
      <c r="J35" s="12"/>
      <c r="K35" s="13"/>
      <c r="L35" s="13"/>
      <c r="M35" s="17"/>
      <c r="N35" s="14">
        <f t="shared" si="1"/>
        <v>26</v>
      </c>
      <c r="O35" s="131" t="s">
        <v>160</v>
      </c>
      <c r="P35" s="132"/>
      <c r="Q35" s="132"/>
      <c r="R35" s="132"/>
      <c r="S35" s="132"/>
      <c r="T35" s="132"/>
      <c r="U35" s="132"/>
      <c r="V35" s="15">
        <v>11697</v>
      </c>
      <c r="W35" s="38">
        <f>69194+127981+33473</f>
        <v>230648</v>
      </c>
      <c r="X35" s="35">
        <f>967.55+1814.61+446.12</f>
        <v>3228.2799999999997</v>
      </c>
      <c r="Y35" s="37"/>
      <c r="Z35" s="36">
        <f t="shared" si="0"/>
        <v>245573.28</v>
      </c>
    </row>
    <row r="36" spans="1:26" ht="18.75" x14ac:dyDescent="0.3">
      <c r="A36" s="34"/>
      <c r="B36" s="24"/>
      <c r="C36" s="24"/>
      <c r="D36" s="24"/>
      <c r="E36" s="24"/>
      <c r="F36" s="24"/>
      <c r="G36" s="24"/>
      <c r="H36" s="24"/>
      <c r="I36" s="24"/>
      <c r="J36" s="12"/>
      <c r="K36" s="13"/>
      <c r="L36" s="13"/>
      <c r="M36" s="17"/>
      <c r="N36" s="14">
        <f t="shared" si="1"/>
        <v>27</v>
      </c>
      <c r="O36" s="131" t="s">
        <v>161</v>
      </c>
      <c r="P36" s="132"/>
      <c r="Q36" s="132"/>
      <c r="R36" s="132"/>
      <c r="S36" s="132"/>
      <c r="T36" s="132"/>
      <c r="U36" s="132"/>
      <c r="V36" s="15">
        <v>11697</v>
      </c>
      <c r="W36" s="38">
        <f>68226+31859+127335</f>
        <v>227420</v>
      </c>
      <c r="X36" s="35">
        <f>953.76+445.89+1811.34</f>
        <v>3210.99</v>
      </c>
      <c r="Y36" s="37"/>
      <c r="Z36" s="36">
        <f t="shared" si="0"/>
        <v>242327.99</v>
      </c>
    </row>
    <row r="37" spans="1:26" ht="18.75" x14ac:dyDescent="0.3">
      <c r="A37" s="34"/>
      <c r="B37" s="24"/>
      <c r="C37" s="24"/>
      <c r="D37" s="24"/>
      <c r="E37" s="24"/>
      <c r="F37" s="24"/>
      <c r="G37" s="24"/>
      <c r="H37" s="24"/>
      <c r="I37" s="24"/>
      <c r="J37" s="12"/>
      <c r="K37" s="13"/>
      <c r="L37" s="13"/>
      <c r="M37" s="17"/>
      <c r="N37" s="14">
        <f t="shared" si="1"/>
        <v>28</v>
      </c>
      <c r="O37" s="131" t="s">
        <v>162</v>
      </c>
      <c r="P37" s="132"/>
      <c r="Q37" s="132"/>
      <c r="R37" s="132"/>
      <c r="S37" s="132"/>
      <c r="T37" s="132"/>
      <c r="U37" s="132"/>
      <c r="V37" s="15">
        <v>11697</v>
      </c>
      <c r="W37" s="38">
        <f>67955+112004+46560</f>
        <v>226519</v>
      </c>
      <c r="X37" s="35">
        <f>950.09+1586.27+660.59</f>
        <v>3196.9500000000003</v>
      </c>
      <c r="Y37" s="37"/>
      <c r="Z37" s="36">
        <f t="shared" si="0"/>
        <v>241412.95</v>
      </c>
    </row>
    <row r="38" spans="1:26" ht="18.75" x14ac:dyDescent="0.3">
      <c r="A38" s="40"/>
      <c r="B38" s="18"/>
      <c r="C38" s="18"/>
      <c r="D38" s="18"/>
      <c r="E38" s="18"/>
      <c r="F38" s="18"/>
      <c r="G38" s="18"/>
      <c r="H38" s="18"/>
      <c r="I38" s="18"/>
      <c r="J38" s="19"/>
      <c r="K38" s="20"/>
      <c r="L38" s="20"/>
      <c r="M38" s="21"/>
      <c r="N38" s="22">
        <f t="shared" si="1"/>
        <v>29</v>
      </c>
      <c r="O38" s="143" t="s">
        <v>163</v>
      </c>
      <c r="P38" s="132"/>
      <c r="Q38" s="132"/>
      <c r="R38" s="132"/>
      <c r="S38" s="132"/>
      <c r="T38" s="132"/>
      <c r="U38" s="132"/>
      <c r="V38" s="23">
        <v>11697</v>
      </c>
      <c r="W38" s="38">
        <f>71502+166794</f>
        <v>238296</v>
      </c>
      <c r="X38" s="35">
        <v>2947.84</v>
      </c>
      <c r="Y38" s="37">
        <v>1299.1199999999999</v>
      </c>
      <c r="Z38" s="36">
        <f t="shared" si="0"/>
        <v>254239.96</v>
      </c>
    </row>
    <row r="39" spans="1:26" ht="18.75" x14ac:dyDescent="0.3">
      <c r="A39" s="34"/>
      <c r="B39" s="24"/>
      <c r="C39" s="24"/>
      <c r="D39" s="24"/>
      <c r="E39" s="24"/>
      <c r="F39" s="24"/>
      <c r="G39" s="24"/>
      <c r="H39" s="24"/>
      <c r="I39" s="24"/>
      <c r="J39" s="12"/>
      <c r="K39" s="13"/>
      <c r="L39" s="13"/>
      <c r="M39" s="17"/>
      <c r="N39" s="14">
        <f t="shared" si="1"/>
        <v>30</v>
      </c>
      <c r="O39" s="131" t="s">
        <v>164</v>
      </c>
      <c r="P39" s="132"/>
      <c r="Q39" s="132"/>
      <c r="R39" s="132"/>
      <c r="S39" s="132"/>
      <c r="T39" s="132"/>
      <c r="U39" s="132"/>
      <c r="V39" s="15">
        <v>11697</v>
      </c>
      <c r="W39" s="38">
        <f>71390+108511+56889</f>
        <v>236790</v>
      </c>
      <c r="X39" s="35">
        <f>2563.59+794.37</f>
        <v>3357.96</v>
      </c>
      <c r="Y39" s="37"/>
      <c r="Z39" s="36">
        <f t="shared" si="0"/>
        <v>251844.96</v>
      </c>
    </row>
    <row r="40" spans="1:26" ht="18.75" x14ac:dyDescent="0.3">
      <c r="A40" s="34"/>
      <c r="B40" s="24"/>
      <c r="C40" s="24"/>
      <c r="D40" s="24"/>
      <c r="E40" s="24"/>
      <c r="F40" s="24"/>
      <c r="G40" s="24"/>
      <c r="H40" s="24"/>
      <c r="I40" s="24"/>
      <c r="J40" s="12"/>
      <c r="K40" s="13"/>
      <c r="L40" s="13"/>
      <c r="M40" s="17"/>
      <c r="N40" s="14">
        <f t="shared" si="1"/>
        <v>31</v>
      </c>
      <c r="O40" s="131" t="s">
        <v>165</v>
      </c>
      <c r="P40" s="132"/>
      <c r="Q40" s="132"/>
      <c r="R40" s="132"/>
      <c r="S40" s="132"/>
      <c r="T40" s="132"/>
      <c r="U40" s="132"/>
      <c r="V40" s="15">
        <v>11697</v>
      </c>
      <c r="W40" s="38">
        <f>71090+1213+164628</f>
        <v>236931</v>
      </c>
      <c r="X40" s="35">
        <f>1030.92+2318.03</f>
        <v>3348.9500000000003</v>
      </c>
      <c r="Y40" s="37"/>
      <c r="Z40" s="36">
        <f t="shared" si="0"/>
        <v>251976.95</v>
      </c>
    </row>
    <row r="41" spans="1:26" ht="18.75" x14ac:dyDescent="0.3">
      <c r="A41" s="34"/>
      <c r="B41" s="24"/>
      <c r="C41" s="24"/>
      <c r="D41" s="24"/>
      <c r="E41" s="24"/>
      <c r="F41" s="24"/>
      <c r="G41" s="24"/>
      <c r="H41" s="24"/>
      <c r="I41" s="24"/>
      <c r="J41" s="12"/>
      <c r="K41" s="13"/>
      <c r="L41" s="13"/>
      <c r="M41" s="17"/>
      <c r="N41" s="14">
        <f t="shared" si="1"/>
        <v>32</v>
      </c>
      <c r="O41" s="131" t="s">
        <v>166</v>
      </c>
      <c r="P41" s="132"/>
      <c r="Q41" s="132"/>
      <c r="R41" s="132"/>
      <c r="S41" s="132"/>
      <c r="T41" s="132"/>
      <c r="U41" s="132"/>
      <c r="V41" s="15">
        <v>11697</v>
      </c>
      <c r="W41" s="38">
        <f>71090+165886</f>
        <v>236976</v>
      </c>
      <c r="X41" s="35">
        <v>3349.44</v>
      </c>
      <c r="Y41" s="37"/>
      <c r="Z41" s="36">
        <f t="shared" si="0"/>
        <v>252022.44</v>
      </c>
    </row>
    <row r="42" spans="1:26" ht="18.75" x14ac:dyDescent="0.3">
      <c r="A42" s="34"/>
      <c r="B42" s="24"/>
      <c r="C42" s="24"/>
      <c r="D42" s="24"/>
      <c r="E42" s="24"/>
      <c r="F42" s="24"/>
      <c r="G42" s="24"/>
      <c r="H42" s="24"/>
      <c r="I42" s="24"/>
      <c r="J42" s="12"/>
      <c r="K42" s="13"/>
      <c r="L42" s="13"/>
      <c r="M42" s="17"/>
      <c r="N42" s="14">
        <f t="shared" si="1"/>
        <v>33</v>
      </c>
      <c r="O42" s="131" t="s">
        <v>167</v>
      </c>
      <c r="P42" s="132"/>
      <c r="Q42" s="132"/>
      <c r="R42" s="132"/>
      <c r="S42" s="132"/>
      <c r="T42" s="132"/>
      <c r="U42" s="132"/>
      <c r="V42" s="15">
        <v>11697</v>
      </c>
      <c r="W42" s="38">
        <f>70500+6070.64+131800.96</f>
        <v>208371.59999999998</v>
      </c>
      <c r="X42" s="35">
        <f>957.14+1630.96</f>
        <v>2588.1</v>
      </c>
      <c r="Y42" s="37"/>
      <c r="Z42" s="36">
        <f t="shared" si="0"/>
        <v>222656.69999999998</v>
      </c>
    </row>
    <row r="43" spans="1:26" ht="18.75" x14ac:dyDescent="0.3">
      <c r="A43" s="34"/>
      <c r="B43" s="24"/>
      <c r="C43" s="24"/>
      <c r="D43" s="24"/>
      <c r="E43" s="24"/>
      <c r="F43" s="24"/>
      <c r="G43" s="24"/>
      <c r="H43" s="24"/>
      <c r="I43" s="24"/>
      <c r="J43" s="12"/>
      <c r="K43" s="13"/>
      <c r="L43" s="13"/>
      <c r="M43" s="17"/>
      <c r="N43" s="14">
        <f t="shared" si="1"/>
        <v>34</v>
      </c>
      <c r="O43" s="131" t="s">
        <v>168</v>
      </c>
      <c r="P43" s="132"/>
      <c r="Q43" s="132"/>
      <c r="R43" s="132"/>
      <c r="S43" s="132"/>
      <c r="T43" s="132"/>
      <c r="U43" s="132"/>
      <c r="V43" s="15">
        <v>11697</v>
      </c>
      <c r="W43" s="35">
        <f>74542+98196+53094+8307</f>
        <v>234139</v>
      </c>
      <c r="X43" s="35">
        <f>1048.47+1392.96+863.62</f>
        <v>3305.05</v>
      </c>
      <c r="Y43" s="37"/>
      <c r="Z43" s="36">
        <f t="shared" si="0"/>
        <v>249141.05</v>
      </c>
    </row>
    <row r="44" spans="1:26" ht="18.75" x14ac:dyDescent="0.3">
      <c r="A44" s="34"/>
      <c r="B44" s="24"/>
      <c r="C44" s="24"/>
      <c r="D44" s="24"/>
      <c r="E44" s="24"/>
      <c r="F44" s="24"/>
      <c r="G44" s="24"/>
      <c r="H44" s="24"/>
      <c r="I44" s="24"/>
      <c r="J44" s="12"/>
      <c r="K44" s="13"/>
      <c r="L44" s="13"/>
      <c r="M44" s="17"/>
      <c r="N44" s="14">
        <f t="shared" si="1"/>
        <v>35</v>
      </c>
      <c r="O44" s="131" t="s">
        <v>169</v>
      </c>
      <c r="P44" s="132"/>
      <c r="Q44" s="132"/>
      <c r="R44" s="132"/>
      <c r="S44" s="132"/>
      <c r="T44" s="132"/>
      <c r="U44" s="132"/>
      <c r="V44" s="15">
        <v>11697</v>
      </c>
      <c r="W44" s="38">
        <f>72000+6585.9+140112.12</f>
        <v>218698.02</v>
      </c>
      <c r="X44" s="35">
        <f>982.33+1734.37</f>
        <v>2716.7</v>
      </c>
      <c r="Y44" s="37"/>
      <c r="Z44" s="36">
        <f t="shared" si="0"/>
        <v>233111.72</v>
      </c>
    </row>
    <row r="45" spans="1:26" ht="18.75" x14ac:dyDescent="0.3">
      <c r="A45" s="34"/>
      <c r="B45" s="24"/>
      <c r="C45" s="24"/>
      <c r="D45" s="24"/>
      <c r="E45" s="24"/>
      <c r="F45" s="24"/>
      <c r="G45" s="24"/>
      <c r="H45" s="24"/>
      <c r="I45" s="24"/>
      <c r="J45" s="12"/>
      <c r="K45" s="13"/>
      <c r="L45" s="13"/>
      <c r="M45" s="17"/>
      <c r="N45" s="14">
        <f t="shared" si="1"/>
        <v>36</v>
      </c>
      <c r="O45" s="131" t="s">
        <v>170</v>
      </c>
      <c r="P45" s="132"/>
      <c r="Q45" s="132"/>
      <c r="R45" s="132"/>
      <c r="S45" s="132"/>
      <c r="T45" s="132"/>
      <c r="U45" s="132"/>
      <c r="V45" s="15">
        <v>11697</v>
      </c>
      <c r="W45" s="38">
        <f>70490+9689+154809</f>
        <v>234988</v>
      </c>
      <c r="X45" s="35">
        <f>2189.63+1130.26</f>
        <v>3319.8900000000003</v>
      </c>
      <c r="Y45" s="37"/>
      <c r="Z45" s="36">
        <f t="shared" si="0"/>
        <v>250004.89</v>
      </c>
    </row>
    <row r="46" spans="1:26" ht="18.75" x14ac:dyDescent="0.3">
      <c r="A46" s="34"/>
      <c r="B46" s="24"/>
      <c r="C46" s="24"/>
      <c r="D46" s="24"/>
      <c r="E46" s="24"/>
      <c r="F46" s="24"/>
      <c r="G46" s="24"/>
      <c r="H46" s="24"/>
      <c r="I46" s="24"/>
      <c r="J46" s="12"/>
      <c r="K46" s="13"/>
      <c r="L46" s="13"/>
      <c r="M46" s="17"/>
      <c r="N46" s="14">
        <f t="shared" si="1"/>
        <v>37</v>
      </c>
      <c r="O46" s="131" t="s">
        <v>171</v>
      </c>
      <c r="P46" s="132"/>
      <c r="Q46" s="132"/>
      <c r="R46" s="132"/>
      <c r="S46" s="132"/>
      <c r="T46" s="132"/>
      <c r="U46" s="132"/>
      <c r="V46" s="15">
        <v>11697</v>
      </c>
      <c r="W46" s="38">
        <v>238371.6</v>
      </c>
      <c r="X46" s="35">
        <v>2947.41</v>
      </c>
      <c r="Y46" s="37">
        <v>1299.1199999999999</v>
      </c>
      <c r="Z46" s="36">
        <f t="shared" si="0"/>
        <v>254315.13</v>
      </c>
    </row>
    <row r="47" spans="1:26" ht="18.75" x14ac:dyDescent="0.3">
      <c r="A47" s="34"/>
      <c r="B47" s="24"/>
      <c r="C47" s="24"/>
      <c r="D47" s="24"/>
      <c r="E47" s="24"/>
      <c r="F47" s="24"/>
      <c r="G47" s="24"/>
      <c r="H47" s="24"/>
      <c r="I47" s="24"/>
      <c r="J47" s="12"/>
      <c r="K47" s="13"/>
      <c r="L47" s="13"/>
      <c r="M47" s="17"/>
      <c r="N47" s="14">
        <f t="shared" si="1"/>
        <v>38</v>
      </c>
      <c r="O47" s="131" t="s">
        <v>172</v>
      </c>
      <c r="P47" s="132"/>
      <c r="Q47" s="132"/>
      <c r="R47" s="132"/>
      <c r="S47" s="132"/>
      <c r="T47" s="132"/>
      <c r="U47" s="132"/>
      <c r="V47" s="15">
        <v>11697</v>
      </c>
      <c r="W47" s="38">
        <f>79052+142121</f>
        <v>221173</v>
      </c>
      <c r="X47" s="35">
        <v>3124.36</v>
      </c>
      <c r="Y47" s="37">
        <v>1299.1199999999999</v>
      </c>
      <c r="Z47" s="36">
        <f t="shared" si="0"/>
        <v>237293.47999999998</v>
      </c>
    </row>
    <row r="48" spans="1:26" ht="18.75" x14ac:dyDescent="0.3">
      <c r="A48" s="34"/>
      <c r="B48" s="24"/>
      <c r="C48" s="24"/>
      <c r="D48" s="24"/>
      <c r="E48" s="24"/>
      <c r="F48" s="24"/>
      <c r="G48" s="24"/>
      <c r="H48" s="24"/>
      <c r="I48" s="24"/>
      <c r="J48" s="12"/>
      <c r="K48" s="13"/>
      <c r="L48" s="13"/>
      <c r="M48" s="17"/>
      <c r="N48" s="14">
        <f t="shared" si="1"/>
        <v>39</v>
      </c>
      <c r="O48" s="131" t="s">
        <v>173</v>
      </c>
      <c r="P48" s="132"/>
      <c r="Q48" s="132"/>
      <c r="R48" s="132"/>
      <c r="S48" s="132"/>
      <c r="T48" s="132"/>
      <c r="U48" s="132"/>
      <c r="V48" s="15">
        <v>11697</v>
      </c>
      <c r="W48" s="38">
        <v>238220.4</v>
      </c>
      <c r="X48" s="35">
        <v>2944.7</v>
      </c>
      <c r="Y48" s="37">
        <v>1299.1199999999999</v>
      </c>
      <c r="Z48" s="36">
        <f t="shared" si="0"/>
        <v>254161.22</v>
      </c>
    </row>
    <row r="49" spans="1:26" ht="18.75" x14ac:dyDescent="0.3">
      <c r="A49" s="34"/>
      <c r="B49" s="24"/>
      <c r="C49" s="24"/>
      <c r="D49" s="24"/>
      <c r="E49" s="24"/>
      <c r="F49" s="24"/>
      <c r="G49" s="24"/>
      <c r="H49" s="24"/>
      <c r="I49" s="24"/>
      <c r="J49" s="12"/>
      <c r="K49" s="13"/>
      <c r="L49" s="13"/>
      <c r="M49" s="17"/>
      <c r="N49" s="14">
        <f t="shared" si="1"/>
        <v>40</v>
      </c>
      <c r="O49" s="131" t="s">
        <v>174</v>
      </c>
      <c r="P49" s="132"/>
      <c r="Q49" s="132"/>
      <c r="R49" s="132"/>
      <c r="S49" s="132"/>
      <c r="T49" s="132"/>
      <c r="U49" s="132"/>
      <c r="V49" s="15">
        <v>11697</v>
      </c>
      <c r="W49" s="35">
        <f>78892+161458+22626</f>
        <v>262976</v>
      </c>
      <c r="X49" s="35">
        <f>1116.93+2284.62+299.64</f>
        <v>3701.19</v>
      </c>
      <c r="Y49" s="37"/>
      <c r="Z49" s="36">
        <f t="shared" si="0"/>
        <v>278374.19</v>
      </c>
    </row>
    <row r="50" spans="1:26" ht="18.75" x14ac:dyDescent="0.3">
      <c r="A50" s="34"/>
      <c r="B50" s="24"/>
      <c r="C50" s="24"/>
      <c r="D50" s="24"/>
      <c r="E50" s="24"/>
      <c r="F50" s="24"/>
      <c r="G50" s="24"/>
      <c r="H50" s="24"/>
      <c r="I50" s="24"/>
      <c r="J50" s="12"/>
      <c r="K50" s="13"/>
      <c r="L50" s="13"/>
      <c r="M50" s="17"/>
      <c r="N50" s="14">
        <f t="shared" si="1"/>
        <v>41</v>
      </c>
      <c r="O50" s="131" t="s">
        <v>175</v>
      </c>
      <c r="P50" s="132"/>
      <c r="Q50" s="132"/>
      <c r="R50" s="132"/>
      <c r="S50" s="132"/>
      <c r="T50" s="132"/>
      <c r="U50" s="132"/>
      <c r="V50" s="15">
        <v>11697</v>
      </c>
      <c r="W50" s="38">
        <f>82490+80.69+192420.47</f>
        <v>274991.16000000003</v>
      </c>
      <c r="X50" s="35">
        <f>1140.49+2705.52</f>
        <v>3846.01</v>
      </c>
      <c r="Y50" s="37"/>
      <c r="Z50" s="36">
        <f t="shared" si="0"/>
        <v>290534.17000000004</v>
      </c>
    </row>
    <row r="51" spans="1:26" ht="18.75" x14ac:dyDescent="0.3">
      <c r="A51" s="34"/>
      <c r="B51" s="24"/>
      <c r="C51" s="24"/>
      <c r="D51" s="24"/>
      <c r="E51" s="24"/>
      <c r="F51" s="24"/>
      <c r="G51" s="24"/>
      <c r="H51" s="24"/>
      <c r="I51" s="24"/>
      <c r="J51" s="12"/>
      <c r="K51" s="13"/>
      <c r="L51" s="13"/>
      <c r="M51" s="17"/>
      <c r="N51" s="14">
        <f t="shared" si="1"/>
        <v>42</v>
      </c>
      <c r="O51" s="131" t="s">
        <v>176</v>
      </c>
      <c r="P51" s="132"/>
      <c r="Q51" s="132"/>
      <c r="R51" s="132"/>
      <c r="S51" s="132"/>
      <c r="T51" s="132"/>
      <c r="U51" s="132"/>
      <c r="V51" s="15">
        <v>11697</v>
      </c>
      <c r="W51" s="38">
        <f>83310+385.73+194015.4</f>
        <v>277711.13</v>
      </c>
      <c r="X51" s="35">
        <f>1155.35+2726.67</f>
        <v>3882.02</v>
      </c>
      <c r="Y51" s="37"/>
      <c r="Z51" s="36">
        <f t="shared" si="0"/>
        <v>293290.15000000002</v>
      </c>
    </row>
    <row r="52" spans="1:26" ht="18.75" x14ac:dyDescent="0.3">
      <c r="A52" s="34"/>
      <c r="B52" s="24"/>
      <c r="C52" s="24"/>
      <c r="D52" s="24"/>
      <c r="E52" s="24"/>
      <c r="F52" s="24"/>
      <c r="G52" s="24"/>
      <c r="H52" s="24"/>
      <c r="I52" s="24"/>
      <c r="J52" s="12"/>
      <c r="K52" s="13"/>
      <c r="L52" s="13"/>
      <c r="M52" s="17"/>
      <c r="N52" s="14">
        <f t="shared" si="1"/>
        <v>43</v>
      </c>
      <c r="O52" s="131" t="s">
        <v>177</v>
      </c>
      <c r="P52" s="132"/>
      <c r="Q52" s="132"/>
      <c r="R52" s="132"/>
      <c r="S52" s="132"/>
      <c r="T52" s="132"/>
      <c r="U52" s="132"/>
      <c r="V52" s="15">
        <v>11697</v>
      </c>
      <c r="W52" s="35">
        <f>70650+126.94+164723.64</f>
        <v>235500.58000000002</v>
      </c>
      <c r="X52" s="35">
        <f>986.18+2317.99</f>
        <v>3304.1699999999996</v>
      </c>
      <c r="Y52" s="37"/>
      <c r="Z52" s="36">
        <f t="shared" si="0"/>
        <v>250501.75000000003</v>
      </c>
    </row>
    <row r="53" spans="1:26" ht="18.75" x14ac:dyDescent="0.3">
      <c r="A53" s="34"/>
      <c r="B53" s="24"/>
      <c r="C53" s="24"/>
      <c r="D53" s="24"/>
      <c r="E53" s="24"/>
      <c r="F53" s="24"/>
      <c r="G53" s="24"/>
      <c r="H53" s="24"/>
      <c r="I53" s="24"/>
      <c r="J53" s="12"/>
      <c r="K53" s="13"/>
      <c r="L53" s="13"/>
      <c r="M53" s="17"/>
      <c r="N53" s="14">
        <f t="shared" si="1"/>
        <v>44</v>
      </c>
      <c r="O53" s="131" t="s">
        <v>178</v>
      </c>
      <c r="P53" s="132"/>
      <c r="Q53" s="132"/>
      <c r="R53" s="132"/>
      <c r="S53" s="132"/>
      <c r="T53" s="132"/>
      <c r="U53" s="132"/>
      <c r="V53" s="15">
        <v>11697</v>
      </c>
      <c r="W53" s="38">
        <f>82640+238+192596.4</f>
        <v>275474.40000000002</v>
      </c>
      <c r="X53" s="35">
        <f>1001.78+2369.15</f>
        <v>3370.9300000000003</v>
      </c>
      <c r="Y53" s="37"/>
      <c r="Z53" s="36">
        <f t="shared" si="0"/>
        <v>290542.33</v>
      </c>
    </row>
    <row r="54" spans="1:26" ht="18.75" x14ac:dyDescent="0.3">
      <c r="A54" s="34"/>
      <c r="B54" s="24"/>
      <c r="C54" s="24"/>
      <c r="D54" s="24"/>
      <c r="E54" s="24"/>
      <c r="F54" s="24"/>
      <c r="G54" s="24"/>
      <c r="H54" s="24"/>
      <c r="I54" s="24"/>
      <c r="J54" s="12"/>
      <c r="K54" s="13"/>
      <c r="L54" s="13"/>
      <c r="M54" s="17"/>
      <c r="N54" s="14">
        <f t="shared" si="1"/>
        <v>45</v>
      </c>
      <c r="O54" s="131" t="s">
        <v>179</v>
      </c>
      <c r="P54" s="132"/>
      <c r="Q54" s="132"/>
      <c r="R54" s="132"/>
      <c r="S54" s="132"/>
      <c r="T54" s="132"/>
      <c r="U54" s="132"/>
      <c r="V54" s="15">
        <v>11697</v>
      </c>
      <c r="W54" s="38">
        <f>82640+782+192052</f>
        <v>275474</v>
      </c>
      <c r="X54" s="35">
        <f>1152.18+2700.82</f>
        <v>3853</v>
      </c>
      <c r="Y54" s="37"/>
      <c r="Z54" s="36">
        <f t="shared" si="0"/>
        <v>291024</v>
      </c>
    </row>
    <row r="55" spans="1:26" ht="18.75" x14ac:dyDescent="0.3">
      <c r="A55" s="34"/>
      <c r="B55" s="24"/>
      <c r="C55" s="24"/>
      <c r="D55" s="24"/>
      <c r="E55" s="24"/>
      <c r="F55" s="24"/>
      <c r="G55" s="24"/>
      <c r="H55" s="24"/>
      <c r="I55" s="24"/>
      <c r="J55" s="12"/>
      <c r="K55" s="13"/>
      <c r="L55" s="13"/>
      <c r="M55" s="17"/>
      <c r="N55" s="14">
        <f t="shared" si="1"/>
        <v>46</v>
      </c>
      <c r="O55" s="131" t="s">
        <v>180</v>
      </c>
      <c r="P55" s="132"/>
      <c r="Q55" s="132"/>
      <c r="R55" s="132"/>
      <c r="S55" s="132"/>
      <c r="T55" s="132"/>
      <c r="U55" s="132"/>
      <c r="V55" s="15">
        <v>11697</v>
      </c>
      <c r="W55" s="38">
        <f>81350+740.94+189087.02</f>
        <v>271177.95999999996</v>
      </c>
      <c r="X55" s="35">
        <f>1129.67+2665.28</f>
        <v>3794.9500000000003</v>
      </c>
      <c r="Y55" s="37"/>
      <c r="Z55" s="36">
        <f t="shared" si="0"/>
        <v>286669.90999999997</v>
      </c>
    </row>
    <row r="56" spans="1:26" ht="18.75" x14ac:dyDescent="0.3">
      <c r="A56" s="34"/>
      <c r="B56" s="24"/>
      <c r="C56" s="24"/>
      <c r="D56" s="24"/>
      <c r="E56" s="24"/>
      <c r="F56" s="24"/>
      <c r="G56" s="24"/>
      <c r="H56" s="24"/>
      <c r="I56" s="24"/>
      <c r="J56" s="12"/>
      <c r="K56" s="13"/>
      <c r="L56" s="13"/>
      <c r="M56" s="17"/>
      <c r="N56" s="14">
        <f t="shared" si="1"/>
        <v>47</v>
      </c>
      <c r="O56" s="131" t="s">
        <v>181</v>
      </c>
      <c r="P56" s="132"/>
      <c r="Q56" s="132"/>
      <c r="R56" s="132"/>
      <c r="S56" s="132"/>
      <c r="T56" s="132"/>
      <c r="U56" s="132"/>
      <c r="V56" s="15">
        <v>11697</v>
      </c>
      <c r="W56" s="38">
        <f>83160+501.62+193544.36</f>
        <v>277205.98</v>
      </c>
      <c r="X56" s="35">
        <f>1153.67+2720.24</f>
        <v>3873.91</v>
      </c>
      <c r="Y56" s="37"/>
      <c r="Z56" s="36">
        <f t="shared" si="0"/>
        <v>292776.88999999996</v>
      </c>
    </row>
    <row r="57" spans="1:26" ht="18.75" x14ac:dyDescent="0.3">
      <c r="A57" s="34"/>
      <c r="B57" s="24"/>
      <c r="C57" s="24"/>
      <c r="D57" s="24"/>
      <c r="E57" s="24"/>
      <c r="F57" s="24"/>
      <c r="G57" s="24"/>
      <c r="H57" s="24"/>
      <c r="I57" s="24"/>
      <c r="J57" s="12"/>
      <c r="K57" s="13"/>
      <c r="L57" s="13"/>
      <c r="M57" s="17"/>
      <c r="N57" s="14">
        <f t="shared" si="1"/>
        <v>48</v>
      </c>
      <c r="O57" s="131" t="s">
        <v>182</v>
      </c>
      <c r="P57" s="132"/>
      <c r="Q57" s="132"/>
      <c r="R57" s="132"/>
      <c r="S57" s="132"/>
      <c r="T57" s="132"/>
      <c r="U57" s="132"/>
      <c r="V57" s="15">
        <v>11697</v>
      </c>
      <c r="W57" s="38">
        <f>75810+162.46+176751.88</f>
        <v>252724.34000000003</v>
      </c>
      <c r="X57" s="35">
        <f>1057.09+2482.28</f>
        <v>3539.37</v>
      </c>
      <c r="Y57" s="37"/>
      <c r="Z57" s="36">
        <f t="shared" si="0"/>
        <v>267960.71000000002</v>
      </c>
    </row>
    <row r="58" spans="1:26" ht="18.75" x14ac:dyDescent="0.3">
      <c r="A58" s="34"/>
      <c r="B58" s="24"/>
      <c r="C58" s="24"/>
      <c r="D58" s="24"/>
      <c r="E58" s="24"/>
      <c r="F58" s="24"/>
      <c r="G58" s="24"/>
      <c r="H58" s="24"/>
      <c r="I58" s="24"/>
      <c r="J58" s="12"/>
      <c r="K58" s="13"/>
      <c r="L58" s="13"/>
      <c r="M58" s="17"/>
      <c r="N58" s="14">
        <f t="shared" si="1"/>
        <v>49</v>
      </c>
      <c r="O58" s="131" t="s">
        <v>183</v>
      </c>
      <c r="P58" s="132"/>
      <c r="Q58" s="132"/>
      <c r="R58" s="132"/>
      <c r="S58" s="132"/>
      <c r="T58" s="132"/>
      <c r="U58" s="132"/>
      <c r="V58" s="15">
        <v>11697</v>
      </c>
      <c r="W58" s="38">
        <f>80250+929.91+186333.36</f>
        <v>267513.27</v>
      </c>
      <c r="X58" s="35">
        <f>1121.47+2623.6</f>
        <v>3745.0699999999997</v>
      </c>
      <c r="Y58" s="37"/>
      <c r="Z58" s="36">
        <f t="shared" si="0"/>
        <v>282955.34000000003</v>
      </c>
    </row>
    <row r="59" spans="1:26" ht="18.75" x14ac:dyDescent="0.3">
      <c r="A59" s="34"/>
      <c r="B59" s="24"/>
      <c r="C59" s="24"/>
      <c r="D59" s="24"/>
      <c r="E59" s="24"/>
      <c r="F59" s="24"/>
      <c r="G59" s="24"/>
      <c r="H59" s="24"/>
      <c r="I59" s="24"/>
      <c r="J59" s="12"/>
      <c r="K59" s="13"/>
      <c r="L59" s="13"/>
      <c r="M59" s="17"/>
      <c r="N59" s="14">
        <f t="shared" si="1"/>
        <v>50</v>
      </c>
      <c r="O59" s="131" t="s">
        <v>184</v>
      </c>
      <c r="P59" s="132"/>
      <c r="Q59" s="132"/>
      <c r="R59" s="132"/>
      <c r="S59" s="132"/>
      <c r="T59" s="132"/>
      <c r="U59" s="132"/>
      <c r="V59" s="15">
        <v>11697</v>
      </c>
      <c r="W59" s="38">
        <f>83170+80.48+193986.65</f>
        <v>277237.13</v>
      </c>
      <c r="X59" s="35">
        <f>1149.86+2732.76</f>
        <v>3882.62</v>
      </c>
      <c r="Y59" s="37"/>
      <c r="Z59" s="36">
        <f t="shared" si="0"/>
        <v>292816.75</v>
      </c>
    </row>
    <row r="60" spans="1:26" ht="18.75" x14ac:dyDescent="0.3">
      <c r="A60" s="34"/>
      <c r="B60" s="24"/>
      <c r="C60" s="24"/>
      <c r="D60" s="24"/>
      <c r="E60" s="24"/>
      <c r="F60" s="24"/>
      <c r="G60" s="24"/>
      <c r="H60" s="24"/>
      <c r="I60" s="24"/>
      <c r="J60" s="12"/>
      <c r="K60" s="13"/>
      <c r="L60" s="13"/>
      <c r="M60" s="17"/>
      <c r="N60" s="14">
        <f t="shared" si="1"/>
        <v>51</v>
      </c>
      <c r="O60" s="131" t="s">
        <v>185</v>
      </c>
      <c r="P60" s="132"/>
      <c r="Q60" s="132"/>
      <c r="R60" s="132"/>
      <c r="S60" s="132"/>
      <c r="T60" s="132"/>
      <c r="U60" s="132"/>
      <c r="V60" s="15">
        <v>11697</v>
      </c>
      <c r="W60" s="38">
        <f>77560+65585+115390</f>
        <v>258535</v>
      </c>
      <c r="X60" s="35">
        <f>2014.1+1614.29</f>
        <v>3628.39</v>
      </c>
      <c r="Y60" s="37"/>
      <c r="Z60" s="36">
        <f t="shared" si="0"/>
        <v>273860.39</v>
      </c>
    </row>
    <row r="61" spans="1:26" ht="18.75" x14ac:dyDescent="0.3">
      <c r="A61" s="34"/>
      <c r="B61" s="24"/>
      <c r="C61" s="24"/>
      <c r="D61" s="24"/>
      <c r="E61" s="24"/>
      <c r="F61" s="24"/>
      <c r="G61" s="24"/>
      <c r="H61" s="24"/>
      <c r="I61" s="24"/>
      <c r="J61" s="12"/>
      <c r="K61" s="13"/>
      <c r="L61" s="13"/>
      <c r="M61" s="17"/>
      <c r="N61" s="14">
        <f t="shared" si="1"/>
        <v>52</v>
      </c>
      <c r="O61" s="131" t="s">
        <v>186</v>
      </c>
      <c r="P61" s="132"/>
      <c r="Q61" s="132"/>
      <c r="R61" s="132"/>
      <c r="S61" s="132"/>
      <c r="T61" s="132"/>
      <c r="U61" s="132"/>
      <c r="V61" s="15">
        <v>11697</v>
      </c>
      <c r="W61" s="38">
        <f>85790.09+19417.59+168665.92</f>
        <v>273873.59999999998</v>
      </c>
      <c r="X61" s="35">
        <f>1201.58+264.36+2370.23</f>
        <v>3836.17</v>
      </c>
      <c r="Y61" s="37"/>
      <c r="Z61" s="36">
        <f t="shared" si="0"/>
        <v>289406.76999999996</v>
      </c>
    </row>
    <row r="62" spans="1:26" ht="18.75" x14ac:dyDescent="0.3">
      <c r="A62" s="34"/>
      <c r="B62" s="24"/>
      <c r="C62" s="24"/>
      <c r="D62" s="24"/>
      <c r="E62" s="24"/>
      <c r="F62" s="24"/>
      <c r="G62" s="24"/>
      <c r="H62" s="24"/>
      <c r="I62" s="24"/>
      <c r="J62" s="12"/>
      <c r="K62" s="13"/>
      <c r="L62" s="13"/>
      <c r="M62" s="17"/>
      <c r="N62" s="14">
        <f t="shared" si="1"/>
        <v>53</v>
      </c>
      <c r="O62" s="131" t="s">
        <v>187</v>
      </c>
      <c r="P62" s="132"/>
      <c r="Q62" s="132"/>
      <c r="R62" s="132"/>
      <c r="S62" s="132"/>
      <c r="T62" s="132"/>
      <c r="U62" s="132"/>
      <c r="V62" s="15">
        <v>11697</v>
      </c>
      <c r="W62" s="38">
        <f>82339+88756+103371</f>
        <v>274466</v>
      </c>
      <c r="X62" s="35">
        <f>3109.91+734.54</f>
        <v>3844.45</v>
      </c>
      <c r="Y62" s="37"/>
      <c r="Z62" s="36">
        <f t="shared" si="0"/>
        <v>290007.45</v>
      </c>
    </row>
    <row r="63" spans="1:26" ht="18.75" x14ac:dyDescent="0.3">
      <c r="A63" s="34"/>
      <c r="B63" s="24"/>
      <c r="C63" s="24"/>
      <c r="D63" s="24"/>
      <c r="E63" s="24"/>
      <c r="F63" s="24"/>
      <c r="G63" s="24"/>
      <c r="H63" s="24"/>
      <c r="I63" s="24"/>
      <c r="J63" s="12"/>
      <c r="K63" s="13"/>
      <c r="L63" s="13"/>
      <c r="M63" s="17"/>
      <c r="N63" s="14">
        <f t="shared" si="1"/>
        <v>54</v>
      </c>
      <c r="O63" s="150" t="s">
        <v>188</v>
      </c>
      <c r="P63" s="151"/>
      <c r="Q63" s="151"/>
      <c r="R63" s="151"/>
      <c r="S63" s="151"/>
      <c r="T63" s="151"/>
      <c r="U63" s="152"/>
      <c r="V63" s="153">
        <v>11697</v>
      </c>
      <c r="W63" s="144">
        <f>82750+94066+99018</f>
        <v>275834</v>
      </c>
      <c r="X63" s="144">
        <f>2486.09+1376.08</f>
        <v>3862.17</v>
      </c>
      <c r="Y63" s="146"/>
      <c r="Z63" s="148">
        <f t="shared" si="0"/>
        <v>291393.17</v>
      </c>
    </row>
    <row r="64" spans="1:26" ht="18.75" x14ac:dyDescent="0.3">
      <c r="A64" s="34"/>
      <c r="B64" s="24"/>
      <c r="C64" s="24"/>
      <c r="D64" s="24"/>
      <c r="E64" s="24"/>
      <c r="F64" s="24"/>
      <c r="G64" s="24"/>
      <c r="H64" s="24"/>
      <c r="I64" s="24"/>
      <c r="J64" s="12"/>
      <c r="K64" s="13"/>
      <c r="L64" s="13"/>
      <c r="M64" s="17"/>
      <c r="N64" s="14">
        <f t="shared" si="1"/>
        <v>55</v>
      </c>
      <c r="O64" s="150" t="s">
        <v>189</v>
      </c>
      <c r="P64" s="151"/>
      <c r="Q64" s="151"/>
      <c r="R64" s="151"/>
      <c r="S64" s="151"/>
      <c r="T64" s="151"/>
      <c r="U64" s="152"/>
      <c r="V64" s="154"/>
      <c r="W64" s="145"/>
      <c r="X64" s="145"/>
      <c r="Y64" s="147"/>
      <c r="Z64" s="149"/>
    </row>
    <row r="65" spans="1:26" ht="18.75" x14ac:dyDescent="0.3">
      <c r="A65" s="34"/>
      <c r="B65" s="24"/>
      <c r="C65" s="24"/>
      <c r="D65" s="24"/>
      <c r="E65" s="24"/>
      <c r="F65" s="24"/>
      <c r="G65" s="24"/>
      <c r="H65" s="24"/>
      <c r="I65" s="24"/>
      <c r="J65" s="12"/>
      <c r="K65" s="13"/>
      <c r="L65" s="13"/>
      <c r="M65" s="17"/>
      <c r="N65" s="14">
        <f t="shared" si="1"/>
        <v>56</v>
      </c>
      <c r="O65" s="150" t="s">
        <v>190</v>
      </c>
      <c r="P65" s="151"/>
      <c r="Q65" s="151"/>
      <c r="R65" s="151"/>
      <c r="S65" s="151"/>
      <c r="T65" s="151"/>
      <c r="U65" s="152"/>
      <c r="V65" s="15">
        <v>11697</v>
      </c>
      <c r="W65" s="38">
        <f>83933+183459+12387</f>
        <v>279779</v>
      </c>
      <c r="X65" s="35">
        <f>3771.09+141.51</f>
        <v>3912.6000000000004</v>
      </c>
      <c r="Y65" s="37"/>
      <c r="Z65" s="36">
        <f t="shared" ref="Z65:Z111" si="2">V65+W65+X65+Y65</f>
        <v>295388.59999999998</v>
      </c>
    </row>
    <row r="66" spans="1:26" ht="18.75" x14ac:dyDescent="0.3">
      <c r="A66" s="34"/>
      <c r="B66" s="24"/>
      <c r="C66" s="24"/>
      <c r="D66" s="24"/>
      <c r="E66" s="24"/>
      <c r="F66" s="24"/>
      <c r="G66" s="24"/>
      <c r="H66" s="24"/>
      <c r="I66" s="24"/>
      <c r="J66" s="12"/>
      <c r="K66" s="13"/>
      <c r="L66" s="13"/>
      <c r="M66" s="17"/>
      <c r="N66" s="14">
        <f t="shared" si="1"/>
        <v>57</v>
      </c>
      <c r="O66" s="131" t="s">
        <v>191</v>
      </c>
      <c r="P66" s="132"/>
      <c r="Q66" s="132"/>
      <c r="R66" s="132"/>
      <c r="S66" s="132"/>
      <c r="T66" s="132"/>
      <c r="U66" s="132"/>
      <c r="V66" s="15">
        <v>11697</v>
      </c>
      <c r="W66" s="38">
        <f>93481.67+14510.71+106887.01+44559.41</f>
        <v>259438.80000000002</v>
      </c>
      <c r="X66" s="35">
        <f>1299.73+194.67+1520.76+615.74</f>
        <v>3630.8999999999996</v>
      </c>
      <c r="Y66" s="37"/>
      <c r="Z66" s="36">
        <f t="shared" si="2"/>
        <v>274766.70000000007</v>
      </c>
    </row>
    <row r="67" spans="1:26" ht="18.75" x14ac:dyDescent="0.3">
      <c r="A67" s="34"/>
      <c r="B67" s="24"/>
      <c r="C67" s="24"/>
      <c r="D67" s="24"/>
      <c r="E67" s="24"/>
      <c r="F67" s="24"/>
      <c r="G67" s="24"/>
      <c r="H67" s="24"/>
      <c r="I67" s="24"/>
      <c r="J67" s="12"/>
      <c r="K67" s="13"/>
      <c r="L67" s="13"/>
      <c r="M67" s="17"/>
      <c r="N67" s="14">
        <f t="shared" si="1"/>
        <v>58</v>
      </c>
      <c r="O67" s="131" t="s">
        <v>192</v>
      </c>
      <c r="P67" s="132"/>
      <c r="Q67" s="132"/>
      <c r="R67" s="132"/>
      <c r="S67" s="132"/>
      <c r="T67" s="132"/>
      <c r="U67" s="132"/>
      <c r="V67" s="15">
        <v>11697</v>
      </c>
      <c r="W67" s="38">
        <f>76485+87474+90993</f>
        <v>254952</v>
      </c>
      <c r="X67" s="35">
        <f>2303.75+1265.72</f>
        <v>3569.4700000000003</v>
      </c>
      <c r="Y67" s="37"/>
      <c r="Z67" s="36">
        <f t="shared" si="2"/>
        <v>270218.46999999997</v>
      </c>
    </row>
    <row r="68" spans="1:26" ht="18.75" x14ac:dyDescent="0.3">
      <c r="A68" s="34"/>
      <c r="B68" s="24"/>
      <c r="C68" s="24"/>
      <c r="D68" s="24"/>
      <c r="E68" s="24"/>
      <c r="F68" s="24"/>
      <c r="G68" s="24"/>
      <c r="H68" s="24"/>
      <c r="I68" s="24"/>
      <c r="J68" s="12"/>
      <c r="K68" s="13"/>
      <c r="L68" s="13"/>
      <c r="M68" s="17"/>
      <c r="N68" s="14">
        <f t="shared" si="1"/>
        <v>59</v>
      </c>
      <c r="O68" s="131" t="s">
        <v>193</v>
      </c>
      <c r="P68" s="132"/>
      <c r="Q68" s="132"/>
      <c r="R68" s="132"/>
      <c r="S68" s="132"/>
      <c r="T68" s="132"/>
      <c r="U68" s="132"/>
      <c r="V68" s="15">
        <v>11697</v>
      </c>
      <c r="W68" s="38">
        <f>103235.38+106875.26+55222.56</f>
        <v>265333.2</v>
      </c>
      <c r="X68" s="35">
        <f>1439.65+1520.76+759.57</f>
        <v>3719.98</v>
      </c>
      <c r="Y68" s="37"/>
      <c r="Z68" s="36">
        <f t="shared" si="2"/>
        <v>280750.18</v>
      </c>
    </row>
    <row r="69" spans="1:26" ht="18.75" x14ac:dyDescent="0.3">
      <c r="A69" s="34"/>
      <c r="B69" s="24"/>
      <c r="C69" s="24"/>
      <c r="D69" s="24"/>
      <c r="E69" s="24"/>
      <c r="F69" s="24"/>
      <c r="G69" s="24"/>
      <c r="H69" s="24"/>
      <c r="I69" s="24"/>
      <c r="J69" s="12"/>
      <c r="K69" s="13"/>
      <c r="L69" s="13"/>
      <c r="M69" s="17"/>
      <c r="N69" s="14">
        <f t="shared" si="1"/>
        <v>60</v>
      </c>
      <c r="O69" s="131" t="s">
        <v>194</v>
      </c>
      <c r="P69" s="132"/>
      <c r="Q69" s="132"/>
      <c r="R69" s="132"/>
      <c r="S69" s="132"/>
      <c r="T69" s="132"/>
      <c r="U69" s="132"/>
      <c r="V69" s="15">
        <v>11697</v>
      </c>
      <c r="W69" s="35">
        <f>124439.17+144719.63</f>
        <v>269158.8</v>
      </c>
      <c r="X69" s="35">
        <f>1763.44+2029.44</f>
        <v>3792.88</v>
      </c>
      <c r="Y69" s="37"/>
      <c r="Z69" s="36">
        <f t="shared" si="2"/>
        <v>284648.68</v>
      </c>
    </row>
    <row r="70" spans="1:26" ht="18.75" x14ac:dyDescent="0.3">
      <c r="A70" s="34"/>
      <c r="B70" s="24"/>
      <c r="C70" s="24"/>
      <c r="D70" s="24"/>
      <c r="E70" s="24"/>
      <c r="F70" s="24"/>
      <c r="G70" s="24"/>
      <c r="H70" s="24"/>
      <c r="I70" s="24"/>
      <c r="J70" s="12"/>
      <c r="K70" s="13"/>
      <c r="L70" s="13"/>
      <c r="M70" s="17"/>
      <c r="N70" s="14">
        <f t="shared" si="1"/>
        <v>61</v>
      </c>
      <c r="O70" s="131" t="s">
        <v>195</v>
      </c>
      <c r="P70" s="132"/>
      <c r="Q70" s="132"/>
      <c r="R70" s="132"/>
      <c r="S70" s="132"/>
      <c r="T70" s="132"/>
      <c r="U70" s="132"/>
      <c r="V70" s="15">
        <v>11697</v>
      </c>
      <c r="W70" s="35">
        <f>266373</f>
        <v>266373</v>
      </c>
      <c r="X70" s="35">
        <f>3287.14</f>
        <v>3287.14</v>
      </c>
      <c r="Y70" s="37"/>
      <c r="Z70" s="36">
        <f t="shared" si="2"/>
        <v>281357.14</v>
      </c>
    </row>
    <row r="71" spans="1:26" ht="18.75" x14ac:dyDescent="0.3">
      <c r="A71" s="34"/>
      <c r="B71" s="24"/>
      <c r="C71" s="24"/>
      <c r="D71" s="24"/>
      <c r="E71" s="24"/>
      <c r="F71" s="24"/>
      <c r="G71" s="24"/>
      <c r="H71" s="24"/>
      <c r="I71" s="24"/>
      <c r="J71" s="12"/>
      <c r="K71" s="13"/>
      <c r="L71" s="13"/>
      <c r="M71" s="17"/>
      <c r="N71" s="14">
        <f t="shared" si="1"/>
        <v>62</v>
      </c>
      <c r="O71" s="131" t="s">
        <v>196</v>
      </c>
      <c r="P71" s="132"/>
      <c r="Q71" s="132"/>
      <c r="R71" s="132"/>
      <c r="S71" s="132"/>
      <c r="T71" s="132"/>
      <c r="U71" s="132"/>
      <c r="V71" s="15">
        <v>11697</v>
      </c>
      <c r="W71" s="35">
        <f>124439.17+144522.83</f>
        <v>268962</v>
      </c>
      <c r="X71" s="35">
        <f>1763.44+2023.68</f>
        <v>3787.12</v>
      </c>
      <c r="Y71" s="37"/>
      <c r="Z71" s="36">
        <f t="shared" si="2"/>
        <v>284446.12</v>
      </c>
    </row>
    <row r="72" spans="1:26" ht="18.75" x14ac:dyDescent="0.3">
      <c r="A72" s="34"/>
      <c r="B72" s="24"/>
      <c r="C72" s="24"/>
      <c r="D72" s="24"/>
      <c r="E72" s="24"/>
      <c r="F72" s="24"/>
      <c r="G72" s="24"/>
      <c r="H72" s="24"/>
      <c r="I72" s="24"/>
      <c r="J72" s="12"/>
      <c r="K72" s="13"/>
      <c r="L72" s="13"/>
      <c r="M72" s="17"/>
      <c r="N72" s="14">
        <f t="shared" si="1"/>
        <v>63</v>
      </c>
      <c r="O72" s="131" t="s">
        <v>197</v>
      </c>
      <c r="P72" s="132"/>
      <c r="Q72" s="132"/>
      <c r="R72" s="132"/>
      <c r="S72" s="132"/>
      <c r="T72" s="132"/>
      <c r="U72" s="132"/>
      <c r="V72" s="15">
        <v>11697</v>
      </c>
      <c r="W72" s="35">
        <f>124439.17+144522.83</f>
        <v>268962</v>
      </c>
      <c r="X72" s="35">
        <f>1763.44+2022.39</f>
        <v>3785.83</v>
      </c>
      <c r="Y72" s="37"/>
      <c r="Z72" s="36">
        <f t="shared" si="2"/>
        <v>284444.83</v>
      </c>
    </row>
    <row r="73" spans="1:26" ht="18.75" x14ac:dyDescent="0.3">
      <c r="A73" s="34"/>
      <c r="B73" s="24"/>
      <c r="C73" s="24"/>
      <c r="D73" s="24"/>
      <c r="E73" s="24"/>
      <c r="F73" s="24"/>
      <c r="G73" s="24"/>
      <c r="H73" s="24"/>
      <c r="I73" s="24"/>
      <c r="J73" s="12"/>
      <c r="K73" s="13"/>
      <c r="L73" s="13"/>
      <c r="M73" s="17"/>
      <c r="N73" s="14">
        <f t="shared" si="1"/>
        <v>64</v>
      </c>
      <c r="O73" s="131" t="s">
        <v>198</v>
      </c>
      <c r="P73" s="132"/>
      <c r="Q73" s="132"/>
      <c r="R73" s="132"/>
      <c r="S73" s="132"/>
      <c r="T73" s="132"/>
      <c r="U73" s="132"/>
      <c r="V73" s="15">
        <v>11697</v>
      </c>
      <c r="W73" s="35">
        <f>83180+117080.8+77014.8</f>
        <v>277275.59999999998</v>
      </c>
      <c r="X73" s="35">
        <f>2465.3+550.2+404.62</f>
        <v>3420.12</v>
      </c>
      <c r="Y73" s="37"/>
      <c r="Z73" s="36">
        <f t="shared" si="2"/>
        <v>292392.71999999997</v>
      </c>
    </row>
    <row r="74" spans="1:26" ht="18.75" x14ac:dyDescent="0.3">
      <c r="A74" s="34"/>
      <c r="B74" s="24"/>
      <c r="C74" s="24"/>
      <c r="D74" s="24"/>
      <c r="E74" s="24"/>
      <c r="F74" s="24"/>
      <c r="G74" s="24"/>
      <c r="H74" s="24"/>
      <c r="I74" s="24"/>
      <c r="J74" s="12"/>
      <c r="K74" s="13"/>
      <c r="L74" s="13"/>
      <c r="M74" s="17"/>
      <c r="N74" s="14">
        <f t="shared" si="1"/>
        <v>65</v>
      </c>
      <c r="O74" s="131" t="s">
        <v>199</v>
      </c>
      <c r="P74" s="132"/>
      <c r="Q74" s="132"/>
      <c r="R74" s="132"/>
      <c r="S74" s="132"/>
      <c r="T74" s="132"/>
      <c r="U74" s="132"/>
      <c r="V74" s="15">
        <v>15259</v>
      </c>
      <c r="W74" s="38">
        <f>120861+281197.67</f>
        <v>402058.67</v>
      </c>
      <c r="X74" s="35">
        <f>5605.84</f>
        <v>5605.84</v>
      </c>
      <c r="Y74" s="37"/>
      <c r="Z74" s="36">
        <f t="shared" si="2"/>
        <v>422923.51</v>
      </c>
    </row>
    <row r="75" spans="1:26" ht="18.75" x14ac:dyDescent="0.3">
      <c r="A75" s="34"/>
      <c r="B75" s="24"/>
      <c r="C75" s="24"/>
      <c r="D75" s="24"/>
      <c r="E75" s="24"/>
      <c r="F75" s="24"/>
      <c r="G75" s="24"/>
      <c r="H75" s="24"/>
      <c r="I75" s="24"/>
      <c r="J75" s="12"/>
      <c r="K75" s="13"/>
      <c r="L75" s="13"/>
      <c r="M75" s="17"/>
      <c r="N75" s="14">
        <f t="shared" si="1"/>
        <v>66</v>
      </c>
      <c r="O75" s="131" t="s">
        <v>200</v>
      </c>
      <c r="P75" s="132"/>
      <c r="Q75" s="132"/>
      <c r="R75" s="132"/>
      <c r="S75" s="132"/>
      <c r="T75" s="132"/>
      <c r="U75" s="132"/>
      <c r="V75" s="15">
        <v>11697</v>
      </c>
      <c r="W75" s="35">
        <f>81860+110473.83+80538.37</f>
        <v>272872.2</v>
      </c>
      <c r="X75" s="35">
        <f>2369.6+997.35</f>
        <v>3366.95</v>
      </c>
      <c r="Y75" s="37"/>
      <c r="Z75" s="36">
        <f t="shared" si="2"/>
        <v>287936.15000000002</v>
      </c>
    </row>
    <row r="76" spans="1:26" ht="18.75" x14ac:dyDescent="0.3">
      <c r="A76" s="34"/>
      <c r="B76" s="24"/>
      <c r="C76" s="24"/>
      <c r="D76" s="24"/>
      <c r="E76" s="24"/>
      <c r="F76" s="24"/>
      <c r="G76" s="24"/>
      <c r="H76" s="24"/>
      <c r="I76" s="24"/>
      <c r="J76" s="12"/>
      <c r="K76" s="13"/>
      <c r="L76" s="13"/>
      <c r="M76" s="17"/>
      <c r="N76" s="14">
        <f t="shared" ref="N76:N111" si="3">N75+1</f>
        <v>67</v>
      </c>
      <c r="O76" s="131" t="s">
        <v>201</v>
      </c>
      <c r="P76" s="132"/>
      <c r="Q76" s="132"/>
      <c r="R76" s="132"/>
      <c r="S76" s="132"/>
      <c r="T76" s="132"/>
      <c r="U76" s="132"/>
      <c r="V76" s="15">
        <v>11697</v>
      </c>
      <c r="W76" s="35">
        <f>79540+185625.2</f>
        <v>265165.2</v>
      </c>
      <c r="X76" s="35">
        <f>3271.04</f>
        <v>3271.04</v>
      </c>
      <c r="Y76" s="37"/>
      <c r="Z76" s="36">
        <f t="shared" si="2"/>
        <v>280133.24</v>
      </c>
    </row>
    <row r="77" spans="1:26" ht="18.75" x14ac:dyDescent="0.3">
      <c r="A77" s="34"/>
      <c r="B77" s="24"/>
      <c r="C77" s="24"/>
      <c r="D77" s="24"/>
      <c r="E77" s="24"/>
      <c r="F77" s="24"/>
      <c r="G77" s="24"/>
      <c r="H77" s="24"/>
      <c r="I77" s="24"/>
      <c r="J77" s="12"/>
      <c r="K77" s="13"/>
      <c r="L77" s="13"/>
      <c r="M77" s="17"/>
      <c r="N77" s="14">
        <f t="shared" si="3"/>
        <v>68</v>
      </c>
      <c r="O77" s="131" t="s">
        <v>202</v>
      </c>
      <c r="P77" s="132"/>
      <c r="Q77" s="132"/>
      <c r="R77" s="132"/>
      <c r="S77" s="132"/>
      <c r="T77" s="132"/>
      <c r="U77" s="132"/>
      <c r="V77" s="15">
        <v>11697</v>
      </c>
      <c r="W77" s="35">
        <f>80140+61164.8+125860.8</f>
        <v>267165.59999999998</v>
      </c>
      <c r="X77" s="35">
        <f>1745.93+1550.92</f>
        <v>3296.8500000000004</v>
      </c>
      <c r="Y77" s="37"/>
      <c r="Z77" s="36">
        <f t="shared" si="2"/>
        <v>282159.44999999995</v>
      </c>
    </row>
    <row r="78" spans="1:26" ht="18.75" x14ac:dyDescent="0.3">
      <c r="A78" s="34"/>
      <c r="B78" s="24"/>
      <c r="C78" s="24"/>
      <c r="D78" s="24"/>
      <c r="E78" s="24"/>
      <c r="F78" s="24"/>
      <c r="G78" s="24"/>
      <c r="H78" s="24"/>
      <c r="I78" s="24"/>
      <c r="J78" s="12"/>
      <c r="K78" s="13"/>
      <c r="L78" s="13"/>
      <c r="M78" s="17"/>
      <c r="N78" s="14">
        <f t="shared" si="3"/>
        <v>69</v>
      </c>
      <c r="O78" s="131" t="s">
        <v>203</v>
      </c>
      <c r="P78" s="132"/>
      <c r="Q78" s="132"/>
      <c r="R78" s="132"/>
      <c r="S78" s="132"/>
      <c r="T78" s="132"/>
      <c r="U78" s="132"/>
      <c r="V78" s="15">
        <v>11697</v>
      </c>
      <c r="W78" s="35">
        <f>79880+186388</f>
        <v>266268</v>
      </c>
      <c r="X78" s="35">
        <v>3271.2</v>
      </c>
      <c r="Y78" s="37"/>
      <c r="Z78" s="36">
        <f t="shared" si="2"/>
        <v>281236.2</v>
      </c>
    </row>
    <row r="79" spans="1:26" ht="18.75" x14ac:dyDescent="0.3">
      <c r="A79" s="34"/>
      <c r="B79" s="24"/>
      <c r="C79" s="24"/>
      <c r="D79" s="24"/>
      <c r="E79" s="24"/>
      <c r="F79" s="24"/>
      <c r="G79" s="24"/>
      <c r="H79" s="24"/>
      <c r="I79" s="24"/>
      <c r="J79" s="12"/>
      <c r="K79" s="13"/>
      <c r="L79" s="13"/>
      <c r="M79" s="17"/>
      <c r="N79" s="14">
        <f t="shared" si="3"/>
        <v>70</v>
      </c>
      <c r="O79" s="131" t="s">
        <v>204</v>
      </c>
      <c r="P79" s="132"/>
      <c r="Q79" s="132"/>
      <c r="R79" s="132"/>
      <c r="S79" s="132"/>
      <c r="T79" s="132"/>
      <c r="U79" s="132"/>
      <c r="V79" s="15">
        <v>11697</v>
      </c>
      <c r="W79" s="35">
        <f>79550+185636.8</f>
        <v>265186.8</v>
      </c>
      <c r="X79" s="35">
        <v>3270.75</v>
      </c>
      <c r="Y79" s="37"/>
      <c r="Z79" s="36">
        <f t="shared" si="2"/>
        <v>280154.55</v>
      </c>
    </row>
    <row r="80" spans="1:26" ht="18.75" x14ac:dyDescent="0.3">
      <c r="A80" s="34"/>
      <c r="B80" s="24"/>
      <c r="C80" s="24"/>
      <c r="D80" s="24"/>
      <c r="E80" s="24"/>
      <c r="F80" s="24"/>
      <c r="G80" s="24"/>
      <c r="H80" s="24"/>
      <c r="I80" s="24"/>
      <c r="J80" s="12"/>
      <c r="K80" s="13"/>
      <c r="L80" s="13"/>
      <c r="M80" s="17"/>
      <c r="N80" s="14">
        <f t="shared" si="3"/>
        <v>71</v>
      </c>
      <c r="O80" s="131" t="s">
        <v>205</v>
      </c>
      <c r="P80" s="132"/>
      <c r="Q80" s="132"/>
      <c r="R80" s="132"/>
      <c r="S80" s="132"/>
      <c r="T80" s="132"/>
      <c r="U80" s="132"/>
      <c r="V80" s="15">
        <v>11697</v>
      </c>
      <c r="W80" s="35">
        <f>80660+188224</f>
        <v>268884</v>
      </c>
      <c r="X80" s="35">
        <v>3318.3</v>
      </c>
      <c r="Y80" s="37"/>
      <c r="Z80" s="36">
        <f t="shared" si="2"/>
        <v>283899.3</v>
      </c>
    </row>
    <row r="81" spans="1:26" ht="18.75" x14ac:dyDescent="0.3">
      <c r="A81" s="34"/>
      <c r="B81" s="24"/>
      <c r="C81" s="24"/>
      <c r="D81" s="24"/>
      <c r="E81" s="24"/>
      <c r="F81" s="24"/>
      <c r="G81" s="24"/>
      <c r="H81" s="24"/>
      <c r="I81" s="24"/>
      <c r="J81" s="12"/>
      <c r="K81" s="13"/>
      <c r="L81" s="13"/>
      <c r="M81" s="17"/>
      <c r="N81" s="14">
        <f t="shared" si="3"/>
        <v>72</v>
      </c>
      <c r="O81" s="131" t="s">
        <v>206</v>
      </c>
      <c r="P81" s="132"/>
      <c r="Q81" s="132"/>
      <c r="R81" s="132"/>
      <c r="S81" s="132"/>
      <c r="T81" s="132"/>
      <c r="U81" s="132"/>
      <c r="V81" s="15">
        <v>11697</v>
      </c>
      <c r="W81" s="35">
        <f>82520+53622.4+138954</f>
        <v>275096.40000000002</v>
      </c>
      <c r="X81" s="35">
        <f>1682.01+1710.37</f>
        <v>3392.38</v>
      </c>
      <c r="Y81" s="37"/>
      <c r="Z81" s="36">
        <f t="shared" si="2"/>
        <v>290185.78000000003</v>
      </c>
    </row>
    <row r="82" spans="1:26" ht="18.75" x14ac:dyDescent="0.3">
      <c r="A82" s="34"/>
      <c r="B82" s="24"/>
      <c r="C82" s="24"/>
      <c r="D82" s="24"/>
      <c r="E82" s="24"/>
      <c r="F82" s="24"/>
      <c r="G82" s="24"/>
      <c r="H82" s="24"/>
      <c r="I82" s="24"/>
      <c r="J82" s="12"/>
      <c r="K82" s="13"/>
      <c r="L82" s="13"/>
      <c r="M82" s="17"/>
      <c r="N82" s="14">
        <f t="shared" si="3"/>
        <v>73</v>
      </c>
      <c r="O82" s="131" t="s">
        <v>207</v>
      </c>
      <c r="P82" s="132"/>
      <c r="Q82" s="132"/>
      <c r="R82" s="132"/>
      <c r="S82" s="132"/>
      <c r="T82" s="132"/>
      <c r="U82" s="132"/>
      <c r="V82" s="15">
        <v>11697</v>
      </c>
      <c r="W82" s="35">
        <f>82800+114386.03+78813.97</f>
        <v>276000</v>
      </c>
      <c r="X82" s="35">
        <f>2430.24+976.83</f>
        <v>3407.0699999999997</v>
      </c>
      <c r="Y82" s="37"/>
      <c r="Z82" s="36">
        <f t="shared" si="2"/>
        <v>291104.07</v>
      </c>
    </row>
    <row r="83" spans="1:26" ht="18.75" x14ac:dyDescent="0.3">
      <c r="A83" s="34"/>
      <c r="B83" s="24"/>
      <c r="C83" s="24"/>
      <c r="D83" s="24"/>
      <c r="E83" s="24"/>
      <c r="F83" s="24"/>
      <c r="G83" s="24"/>
      <c r="H83" s="24"/>
      <c r="I83" s="24"/>
      <c r="J83" s="12"/>
      <c r="K83" s="13"/>
      <c r="L83" s="13"/>
      <c r="M83" s="17"/>
      <c r="N83" s="14">
        <f t="shared" si="3"/>
        <v>74</v>
      </c>
      <c r="O83" s="131" t="s">
        <v>208</v>
      </c>
      <c r="P83" s="132"/>
      <c r="Q83" s="132"/>
      <c r="R83" s="132"/>
      <c r="S83" s="132"/>
      <c r="T83" s="132"/>
      <c r="U83" s="132"/>
      <c r="V83" s="15">
        <v>11697</v>
      </c>
      <c r="W83" s="38">
        <f>76039+118596+47566+11264</f>
        <v>253465</v>
      </c>
      <c r="X83" s="35">
        <f>2700.03+860.21</f>
        <v>3560.2400000000002</v>
      </c>
      <c r="Y83" s="37"/>
      <c r="Z83" s="36">
        <f t="shared" si="2"/>
        <v>268722.24</v>
      </c>
    </row>
    <row r="84" spans="1:26" ht="18.75" x14ac:dyDescent="0.3">
      <c r="A84" s="34"/>
      <c r="B84" s="24"/>
      <c r="C84" s="24"/>
      <c r="D84" s="24"/>
      <c r="E84" s="24"/>
      <c r="F84" s="24"/>
      <c r="G84" s="24"/>
      <c r="H84" s="24"/>
      <c r="I84" s="24"/>
      <c r="J84" s="12"/>
      <c r="K84" s="13"/>
      <c r="L84" s="13"/>
      <c r="M84" s="17"/>
      <c r="N84" s="14">
        <f t="shared" si="3"/>
        <v>75</v>
      </c>
      <c r="O84" s="131" t="s">
        <v>209</v>
      </c>
      <c r="P84" s="132"/>
      <c r="Q84" s="132"/>
      <c r="R84" s="132"/>
      <c r="S84" s="132"/>
      <c r="T84" s="132"/>
      <c r="U84" s="132"/>
      <c r="V84" s="15">
        <v>11697</v>
      </c>
      <c r="W84" s="38">
        <f>74999+175000.6</f>
        <v>249999.6</v>
      </c>
      <c r="X84" s="35">
        <v>3074.61</v>
      </c>
      <c r="Y84" s="37">
        <v>1299.1199999999999</v>
      </c>
      <c r="Z84" s="36">
        <f t="shared" si="2"/>
        <v>266070.33</v>
      </c>
    </row>
    <row r="85" spans="1:26" ht="18.75" x14ac:dyDescent="0.3">
      <c r="A85" s="34"/>
      <c r="B85" s="24"/>
      <c r="C85" s="24"/>
      <c r="D85" s="24"/>
      <c r="E85" s="24"/>
      <c r="F85" s="24"/>
      <c r="G85" s="24"/>
      <c r="H85" s="24"/>
      <c r="I85" s="24"/>
      <c r="J85" s="12"/>
      <c r="K85" s="13"/>
      <c r="L85" s="13"/>
      <c r="M85" s="17"/>
      <c r="N85" s="14">
        <f t="shared" si="3"/>
        <v>76</v>
      </c>
      <c r="O85" s="131" t="s">
        <v>210</v>
      </c>
      <c r="P85" s="132"/>
      <c r="Q85" s="132"/>
      <c r="R85" s="132"/>
      <c r="S85" s="132"/>
      <c r="T85" s="132"/>
      <c r="U85" s="132"/>
      <c r="V85" s="15">
        <v>11697</v>
      </c>
      <c r="W85" s="38">
        <f>76799+179200.6</f>
        <v>255999.6</v>
      </c>
      <c r="X85" s="35">
        <v>3147.32</v>
      </c>
      <c r="Y85" s="37">
        <v>1299.1199999999999</v>
      </c>
      <c r="Z85" s="36">
        <f t="shared" si="2"/>
        <v>272143.03999999998</v>
      </c>
    </row>
    <row r="86" spans="1:26" ht="18.75" x14ac:dyDescent="0.3">
      <c r="A86" s="34"/>
      <c r="B86" s="24"/>
      <c r="C86" s="24"/>
      <c r="D86" s="24"/>
      <c r="E86" s="24"/>
      <c r="F86" s="24"/>
      <c r="G86" s="24"/>
      <c r="H86" s="24"/>
      <c r="I86" s="24"/>
      <c r="J86" s="12"/>
      <c r="K86" s="13"/>
      <c r="L86" s="13"/>
      <c r="M86" s="17"/>
      <c r="N86" s="14">
        <f t="shared" si="3"/>
        <v>77</v>
      </c>
      <c r="O86" s="131" t="s">
        <v>211</v>
      </c>
      <c r="P86" s="132"/>
      <c r="Q86" s="132"/>
      <c r="R86" s="132"/>
      <c r="S86" s="132"/>
      <c r="T86" s="132"/>
      <c r="U86" s="132"/>
      <c r="V86" s="15">
        <v>11697</v>
      </c>
      <c r="W86" s="35">
        <f>70590+49206.24+115521.76</f>
        <v>235318</v>
      </c>
      <c r="X86" s="35">
        <f>1469.77+1425.45</f>
        <v>2895.2200000000003</v>
      </c>
      <c r="Y86" s="37"/>
      <c r="Z86" s="36">
        <f t="shared" si="2"/>
        <v>249910.22</v>
      </c>
    </row>
    <row r="87" spans="1:26" ht="18.75" x14ac:dyDescent="0.3">
      <c r="A87" s="34"/>
      <c r="B87" s="24"/>
      <c r="C87" s="24"/>
      <c r="D87" s="24"/>
      <c r="E87" s="24"/>
      <c r="F87" s="24"/>
      <c r="G87" s="24"/>
      <c r="H87" s="24"/>
      <c r="I87" s="24"/>
      <c r="J87" s="12"/>
      <c r="K87" s="13"/>
      <c r="L87" s="13"/>
      <c r="M87" s="17"/>
      <c r="N87" s="14">
        <f t="shared" si="3"/>
        <v>78</v>
      </c>
      <c r="O87" s="131" t="s">
        <v>212</v>
      </c>
      <c r="P87" s="132"/>
      <c r="Q87" s="132"/>
      <c r="R87" s="132"/>
      <c r="S87" s="132"/>
      <c r="T87" s="132"/>
      <c r="U87" s="132"/>
      <c r="V87" s="15">
        <v>11697</v>
      </c>
      <c r="W87" s="38">
        <f>75899.1+176871.9</f>
        <v>252771</v>
      </c>
      <c r="X87" s="35">
        <v>3562.75</v>
      </c>
      <c r="Y87" s="37">
        <v>1399.97</v>
      </c>
      <c r="Z87" s="36">
        <f t="shared" si="2"/>
        <v>269430.71999999997</v>
      </c>
    </row>
    <row r="88" spans="1:26" x14ac:dyDescent="0.25">
      <c r="A88" s="112" t="s">
        <v>5</v>
      </c>
      <c r="B88" s="112"/>
      <c r="C88" s="112"/>
      <c r="D88" s="112"/>
      <c r="E88" s="112"/>
      <c r="F88" s="112"/>
      <c r="G88" s="112"/>
      <c r="H88" s="112"/>
      <c r="I88" s="112"/>
      <c r="J88" s="155">
        <v>93576</v>
      </c>
      <c r="K88" s="155">
        <v>1941643</v>
      </c>
      <c r="L88" s="155">
        <v>24339.24</v>
      </c>
      <c r="M88" s="156">
        <v>10392.959999999999</v>
      </c>
      <c r="N88" s="14">
        <f t="shared" si="3"/>
        <v>79</v>
      </c>
      <c r="O88" s="131" t="s">
        <v>213</v>
      </c>
      <c r="P88" s="132"/>
      <c r="Q88" s="132"/>
      <c r="R88" s="132"/>
      <c r="S88" s="132"/>
      <c r="T88" s="132"/>
      <c r="U88" s="132"/>
      <c r="V88" s="15">
        <v>11697</v>
      </c>
      <c r="W88" s="38">
        <f>73441+171365</f>
        <v>244806</v>
      </c>
      <c r="X88" s="35">
        <v>3014</v>
      </c>
      <c r="Y88" s="37">
        <v>1299.1199999999999</v>
      </c>
      <c r="Z88" s="36">
        <f t="shared" si="2"/>
        <v>260816.12</v>
      </c>
    </row>
    <row r="89" spans="1:26" x14ac:dyDescent="0.25">
      <c r="A89" s="112"/>
      <c r="B89" s="112"/>
      <c r="C89" s="112"/>
      <c r="D89" s="112"/>
      <c r="E89" s="112"/>
      <c r="F89" s="112"/>
      <c r="G89" s="112"/>
      <c r="H89" s="112"/>
      <c r="I89" s="112"/>
      <c r="J89" s="155"/>
      <c r="K89" s="155"/>
      <c r="L89" s="155"/>
      <c r="M89" s="156"/>
      <c r="N89" s="14">
        <f t="shared" si="3"/>
        <v>80</v>
      </c>
      <c r="O89" s="131" t="s">
        <v>214</v>
      </c>
      <c r="P89" s="132"/>
      <c r="Q89" s="132"/>
      <c r="R89" s="132"/>
      <c r="S89" s="132"/>
      <c r="T89" s="132"/>
      <c r="U89" s="132"/>
      <c r="V89" s="15">
        <v>11697</v>
      </c>
      <c r="W89" s="38">
        <f>76433+178343.8</f>
        <v>254776.8</v>
      </c>
      <c r="X89" s="35">
        <v>3139</v>
      </c>
      <c r="Y89" s="37">
        <v>1299.1199999999999</v>
      </c>
      <c r="Z89" s="36">
        <f t="shared" si="2"/>
        <v>270911.92</v>
      </c>
    </row>
    <row r="90" spans="1:26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14">
        <f t="shared" si="3"/>
        <v>81</v>
      </c>
      <c r="O90" s="131" t="s">
        <v>215</v>
      </c>
      <c r="P90" s="132"/>
      <c r="Q90" s="132"/>
      <c r="R90" s="132"/>
      <c r="S90" s="132"/>
      <c r="T90" s="132"/>
      <c r="U90" s="132"/>
      <c r="V90" s="15">
        <v>11697</v>
      </c>
      <c r="W90" s="38">
        <f>75590+91862+84391</f>
        <v>251843</v>
      </c>
      <c r="X90" s="35">
        <f>2386.18+1165.94</f>
        <v>3552.12</v>
      </c>
      <c r="Y90" s="37"/>
      <c r="Z90" s="36">
        <f t="shared" si="2"/>
        <v>267092.12</v>
      </c>
    </row>
    <row r="91" spans="1:26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14">
        <f t="shared" si="3"/>
        <v>82</v>
      </c>
      <c r="O91" s="131" t="s">
        <v>216</v>
      </c>
      <c r="P91" s="132"/>
      <c r="Q91" s="132"/>
      <c r="R91" s="132"/>
      <c r="S91" s="132"/>
      <c r="T91" s="132"/>
      <c r="U91" s="132"/>
      <c r="V91" s="15">
        <v>11697</v>
      </c>
      <c r="W91" s="38">
        <f>75890+722+176293</f>
        <v>252905</v>
      </c>
      <c r="X91" s="35">
        <f>1091.71+2473.86</f>
        <v>3565.57</v>
      </c>
      <c r="Y91" s="37"/>
      <c r="Z91" s="36">
        <f t="shared" si="2"/>
        <v>268167.57</v>
      </c>
    </row>
    <row r="92" spans="1:26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14">
        <f t="shared" si="3"/>
        <v>83</v>
      </c>
      <c r="O92" s="131" t="s">
        <v>217</v>
      </c>
      <c r="P92" s="132"/>
      <c r="Q92" s="132"/>
      <c r="R92" s="132"/>
      <c r="S92" s="132"/>
      <c r="T92" s="132"/>
      <c r="U92" s="132"/>
      <c r="V92" s="15">
        <v>11697</v>
      </c>
      <c r="W92" s="38">
        <f>64499.7+125.1</f>
        <v>64624.799999999996</v>
      </c>
      <c r="X92" s="35">
        <f>789</f>
        <v>789</v>
      </c>
      <c r="Y92" s="37"/>
      <c r="Z92" s="36">
        <f t="shared" si="2"/>
        <v>77110.799999999988</v>
      </c>
    </row>
    <row r="93" spans="1:26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14">
        <f t="shared" si="3"/>
        <v>84</v>
      </c>
      <c r="O93" s="131" t="s">
        <v>218</v>
      </c>
      <c r="P93" s="132"/>
      <c r="Q93" s="132"/>
      <c r="R93" s="132"/>
      <c r="S93" s="132"/>
      <c r="T93" s="132"/>
      <c r="U93" s="132"/>
      <c r="V93" s="15">
        <v>11697</v>
      </c>
      <c r="W93" s="38">
        <f>59997+10636.2</f>
        <v>70633.2</v>
      </c>
      <c r="X93" s="35">
        <f>864.13</f>
        <v>864.13</v>
      </c>
      <c r="Y93" s="37"/>
      <c r="Z93" s="36">
        <f t="shared" si="2"/>
        <v>83194.33</v>
      </c>
    </row>
    <row r="94" spans="1:26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14">
        <f t="shared" si="3"/>
        <v>85</v>
      </c>
      <c r="O94" s="131" t="s">
        <v>219</v>
      </c>
      <c r="P94" s="132"/>
      <c r="Q94" s="132"/>
      <c r="R94" s="132"/>
      <c r="S94" s="132"/>
      <c r="T94" s="132"/>
      <c r="U94" s="132"/>
      <c r="V94" s="15">
        <v>11697</v>
      </c>
      <c r="W94" s="38">
        <f>77100+81805+98072</f>
        <v>256977</v>
      </c>
      <c r="X94" s="35">
        <f>2237.49+1383.4</f>
        <v>3620.89</v>
      </c>
      <c r="Y94" s="37"/>
      <c r="Z94" s="36">
        <f t="shared" si="2"/>
        <v>272294.89</v>
      </c>
    </row>
    <row r="95" spans="1:26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14">
        <f t="shared" si="3"/>
        <v>86</v>
      </c>
      <c r="O95" s="131" t="s">
        <v>220</v>
      </c>
      <c r="P95" s="132"/>
      <c r="Q95" s="132"/>
      <c r="R95" s="132"/>
      <c r="S95" s="132"/>
      <c r="T95" s="132"/>
      <c r="U95" s="132"/>
      <c r="V95" s="15">
        <v>11697</v>
      </c>
      <c r="W95" s="38">
        <f>74690+66563+107727</f>
        <v>248980</v>
      </c>
      <c r="X95" s="35">
        <f>2118.79+1390.41</f>
        <v>3509.2</v>
      </c>
      <c r="Y95" s="37"/>
      <c r="Z95" s="36">
        <f t="shared" si="2"/>
        <v>264186.2</v>
      </c>
    </row>
    <row r="96" spans="1:26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14">
        <f t="shared" si="3"/>
        <v>87</v>
      </c>
      <c r="O96" s="131" t="s">
        <v>221</v>
      </c>
      <c r="P96" s="132"/>
      <c r="Q96" s="132"/>
      <c r="R96" s="132"/>
      <c r="S96" s="132"/>
      <c r="T96" s="132"/>
      <c r="U96" s="132"/>
      <c r="V96" s="15">
        <v>11697</v>
      </c>
      <c r="W96" s="38">
        <f>76300+98049+80005</f>
        <v>254354</v>
      </c>
      <c r="X96" s="35">
        <f>2461.47+1121.39</f>
        <v>3582.8599999999997</v>
      </c>
      <c r="Y96" s="37"/>
      <c r="Z96" s="36">
        <f t="shared" si="2"/>
        <v>269633.86</v>
      </c>
    </row>
    <row r="97" spans="1:26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14">
        <f t="shared" si="3"/>
        <v>88</v>
      </c>
      <c r="O97" s="131" t="s">
        <v>222</v>
      </c>
      <c r="P97" s="132"/>
      <c r="Q97" s="132"/>
      <c r="R97" s="132"/>
      <c r="S97" s="132"/>
      <c r="T97" s="132"/>
      <c r="U97" s="132"/>
      <c r="V97" s="15">
        <v>11697</v>
      </c>
      <c r="W97" s="38">
        <f>75590+11816+164522</f>
        <v>251928</v>
      </c>
      <c r="X97" s="35">
        <f>1223.16+2328.34</f>
        <v>3551.5</v>
      </c>
      <c r="Y97" s="37"/>
      <c r="Z97" s="36">
        <f t="shared" si="2"/>
        <v>267176.5</v>
      </c>
    </row>
    <row r="98" spans="1:26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14">
        <f t="shared" si="3"/>
        <v>89</v>
      </c>
      <c r="O98" s="131" t="s">
        <v>223</v>
      </c>
      <c r="P98" s="132"/>
      <c r="Q98" s="132"/>
      <c r="R98" s="132"/>
      <c r="S98" s="132"/>
      <c r="T98" s="132"/>
      <c r="U98" s="132"/>
      <c r="V98" s="15">
        <v>11697</v>
      </c>
      <c r="W98" s="38">
        <f>71100+16489+149317</f>
        <v>236906</v>
      </c>
      <c r="X98" s="35">
        <f>1225.18+2111.43</f>
        <v>3336.6099999999997</v>
      </c>
      <c r="Y98" s="37"/>
      <c r="Z98" s="36">
        <f t="shared" si="2"/>
        <v>251939.61</v>
      </c>
    </row>
    <row r="99" spans="1:26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14">
        <f t="shared" si="3"/>
        <v>90</v>
      </c>
      <c r="O99" s="131" t="s">
        <v>224</v>
      </c>
      <c r="P99" s="132"/>
      <c r="Q99" s="132"/>
      <c r="R99" s="132"/>
      <c r="S99" s="132"/>
      <c r="T99" s="132"/>
      <c r="U99" s="132"/>
      <c r="V99" s="15">
        <v>11697</v>
      </c>
      <c r="W99" s="35">
        <f>79560+21531.6+164138.4</f>
        <v>265230</v>
      </c>
      <c r="X99" s="35">
        <f>1253.32+1998.29</f>
        <v>3251.6099999999997</v>
      </c>
      <c r="Y99" s="37"/>
      <c r="Z99" s="36">
        <f t="shared" si="2"/>
        <v>280178.61</v>
      </c>
    </row>
    <row r="100" spans="1:26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14">
        <f t="shared" si="3"/>
        <v>91</v>
      </c>
      <c r="O100" s="131" t="s">
        <v>225</v>
      </c>
      <c r="P100" s="132"/>
      <c r="Q100" s="132"/>
      <c r="R100" s="132"/>
      <c r="S100" s="132"/>
      <c r="T100" s="132"/>
      <c r="U100" s="132"/>
      <c r="V100" s="15">
        <v>11697</v>
      </c>
      <c r="W100" s="35">
        <f>82800+118847.17+74352.83</f>
        <v>276000</v>
      </c>
      <c r="X100" s="35">
        <f>2467.08+924.33</f>
        <v>3391.41</v>
      </c>
      <c r="Y100" s="37"/>
      <c r="Z100" s="36">
        <f t="shared" si="2"/>
        <v>291088.40999999997</v>
      </c>
    </row>
    <row r="101" spans="1:26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14">
        <f t="shared" si="3"/>
        <v>92</v>
      </c>
      <c r="O101" s="131" t="s">
        <v>226</v>
      </c>
      <c r="P101" s="132"/>
      <c r="Q101" s="132"/>
      <c r="R101" s="132"/>
      <c r="S101" s="132"/>
      <c r="T101" s="132"/>
      <c r="U101" s="132"/>
      <c r="V101" s="15">
        <v>11697</v>
      </c>
      <c r="W101" s="35">
        <f>272617</f>
        <v>272617</v>
      </c>
      <c r="X101" s="35">
        <f>3365.09</f>
        <v>3365.09</v>
      </c>
      <c r="Y101" s="37"/>
      <c r="Z101" s="36">
        <f t="shared" si="2"/>
        <v>287679.09000000003</v>
      </c>
    </row>
    <row r="102" spans="1:26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14">
        <f t="shared" si="3"/>
        <v>93</v>
      </c>
      <c r="O102" s="131" t="s">
        <v>227</v>
      </c>
      <c r="P102" s="132"/>
      <c r="Q102" s="132"/>
      <c r="R102" s="132"/>
      <c r="S102" s="132"/>
      <c r="T102" s="132"/>
      <c r="U102" s="132"/>
      <c r="V102" s="15">
        <v>11697</v>
      </c>
      <c r="W102" s="38">
        <f>78003+182008</f>
        <v>260011</v>
      </c>
      <c r="X102" s="35">
        <f>3642.27</f>
        <v>3642.27</v>
      </c>
      <c r="Y102" s="37"/>
      <c r="Z102" s="36">
        <f t="shared" si="2"/>
        <v>275350.27</v>
      </c>
    </row>
    <row r="103" spans="1:26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14">
        <f t="shared" si="3"/>
        <v>94</v>
      </c>
      <c r="O103" s="131" t="s">
        <v>228</v>
      </c>
      <c r="P103" s="132"/>
      <c r="Q103" s="132"/>
      <c r="R103" s="132"/>
      <c r="S103" s="132"/>
      <c r="T103" s="132"/>
      <c r="U103" s="132"/>
      <c r="V103" s="15">
        <v>11697</v>
      </c>
      <c r="W103" s="38">
        <f>83741.87+16904.62+106887.01+59692.1</f>
        <v>267225.59999999998</v>
      </c>
      <c r="X103" s="35">
        <f>1173.89+225.24+1520.76+822.39</f>
        <v>3742.28</v>
      </c>
      <c r="Y103" s="37"/>
      <c r="Z103" s="36">
        <f t="shared" si="2"/>
        <v>282664.88</v>
      </c>
    </row>
    <row r="104" spans="1:26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14">
        <f t="shared" si="3"/>
        <v>95</v>
      </c>
      <c r="O104" s="131" t="s">
        <v>229</v>
      </c>
      <c r="P104" s="132"/>
      <c r="Q104" s="132"/>
      <c r="R104" s="132"/>
      <c r="S104" s="132"/>
      <c r="T104" s="132"/>
      <c r="U104" s="132"/>
      <c r="V104" s="15">
        <v>11697</v>
      </c>
      <c r="W104" s="35">
        <f>154687.74+56689.4+49123.66</f>
        <v>260500.8</v>
      </c>
      <c r="X104" s="35">
        <f>2182.33+790.42+676.43</f>
        <v>3649.18</v>
      </c>
      <c r="Y104" s="37"/>
      <c r="Z104" s="36">
        <f t="shared" si="2"/>
        <v>275846.98</v>
      </c>
    </row>
    <row r="105" spans="1:26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14">
        <f t="shared" si="3"/>
        <v>96</v>
      </c>
      <c r="O105" s="131" t="s">
        <v>230</v>
      </c>
      <c r="P105" s="132"/>
      <c r="Q105" s="132"/>
      <c r="R105" s="132"/>
      <c r="S105" s="132"/>
      <c r="T105" s="132"/>
      <c r="U105" s="132"/>
      <c r="V105" s="15">
        <v>11697</v>
      </c>
      <c r="W105" s="35">
        <f>124439.17+145888.43</f>
        <v>270327.59999999998</v>
      </c>
      <c r="X105" s="35">
        <f>1763.44+2046.87</f>
        <v>3810.31</v>
      </c>
      <c r="Y105" s="37"/>
      <c r="Z105" s="36">
        <f t="shared" si="2"/>
        <v>285834.90999999997</v>
      </c>
    </row>
    <row r="106" spans="1:26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14">
        <f t="shared" si="3"/>
        <v>97</v>
      </c>
      <c r="O106" s="131" t="s">
        <v>231</v>
      </c>
      <c r="P106" s="132"/>
      <c r="Q106" s="132"/>
      <c r="R106" s="132"/>
      <c r="S106" s="132"/>
      <c r="T106" s="132"/>
      <c r="U106" s="132"/>
      <c r="V106" s="15">
        <v>11697</v>
      </c>
      <c r="W106" s="35">
        <f>124439.17+147004.43</f>
        <v>271443.59999999998</v>
      </c>
      <c r="X106" s="35">
        <f>1763.44+2062.01</f>
        <v>3825.4500000000003</v>
      </c>
      <c r="Y106" s="37"/>
      <c r="Z106" s="36">
        <f t="shared" si="2"/>
        <v>286966.05</v>
      </c>
    </row>
    <row r="107" spans="1:26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14">
        <f t="shared" si="3"/>
        <v>98</v>
      </c>
      <c r="O107" s="131" t="s">
        <v>232</v>
      </c>
      <c r="P107" s="132"/>
      <c r="Q107" s="132"/>
      <c r="R107" s="132"/>
      <c r="S107" s="132"/>
      <c r="T107" s="132"/>
      <c r="U107" s="132"/>
      <c r="V107" s="15">
        <v>11697</v>
      </c>
      <c r="W107" s="35">
        <f>82120+117371.6+74267.6</f>
        <v>273759.2</v>
      </c>
      <c r="X107" s="35">
        <f>2456.97+920.62</f>
        <v>3377.5899999999997</v>
      </c>
      <c r="Y107" s="37"/>
      <c r="Z107" s="36">
        <f t="shared" si="2"/>
        <v>288833.79000000004</v>
      </c>
    </row>
    <row r="108" spans="1:26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14">
        <f t="shared" si="3"/>
        <v>99</v>
      </c>
      <c r="O108" s="131" t="s">
        <v>233</v>
      </c>
      <c r="P108" s="132"/>
      <c r="Q108" s="132"/>
      <c r="R108" s="132"/>
      <c r="S108" s="132"/>
      <c r="T108" s="132"/>
      <c r="U108" s="132"/>
      <c r="V108" s="15">
        <v>11697</v>
      </c>
      <c r="W108" s="35">
        <f>276176</f>
        <v>276176</v>
      </c>
      <c r="X108" s="35">
        <f>3408.95</f>
        <v>3408.95</v>
      </c>
      <c r="Y108" s="37"/>
      <c r="Z108" s="36">
        <f t="shared" si="2"/>
        <v>291281.95</v>
      </c>
    </row>
    <row r="109" spans="1:26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14">
        <f t="shared" si="3"/>
        <v>100</v>
      </c>
      <c r="O109" s="131" t="s">
        <v>234</v>
      </c>
      <c r="P109" s="132"/>
      <c r="Q109" s="132"/>
      <c r="R109" s="132"/>
      <c r="S109" s="132"/>
      <c r="T109" s="132"/>
      <c r="U109" s="132"/>
      <c r="V109" s="15">
        <v>11697</v>
      </c>
      <c r="W109" s="35">
        <f>276000</f>
        <v>276000</v>
      </c>
      <c r="X109" s="35">
        <f>3406.54</f>
        <v>3406.54</v>
      </c>
      <c r="Y109" s="37"/>
      <c r="Z109" s="36">
        <f t="shared" si="2"/>
        <v>291103.53999999998</v>
      </c>
    </row>
    <row r="110" spans="1:26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14">
        <f t="shared" si="3"/>
        <v>101</v>
      </c>
      <c r="O110" s="131" t="s">
        <v>235</v>
      </c>
      <c r="P110" s="132"/>
      <c r="Q110" s="132"/>
      <c r="R110" s="132"/>
      <c r="S110" s="132"/>
      <c r="T110" s="132"/>
      <c r="U110" s="132"/>
      <c r="V110" s="15">
        <v>11697</v>
      </c>
      <c r="W110" s="35">
        <f>82500+116994.88+75505.12</f>
        <v>275000</v>
      </c>
      <c r="X110" s="35">
        <f>2460.03+935.62</f>
        <v>3395.65</v>
      </c>
      <c r="Y110" s="37"/>
      <c r="Z110" s="36">
        <f t="shared" si="2"/>
        <v>290092.65000000002</v>
      </c>
    </row>
    <row r="111" spans="1:26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14">
        <f t="shared" si="3"/>
        <v>102</v>
      </c>
      <c r="O111" s="131" t="s">
        <v>236</v>
      </c>
      <c r="P111" s="132"/>
      <c r="Q111" s="132"/>
      <c r="R111" s="132"/>
      <c r="S111" s="132"/>
      <c r="T111" s="132"/>
      <c r="U111" s="132"/>
      <c r="V111" s="15">
        <v>11697</v>
      </c>
      <c r="W111" s="35">
        <f>80430+187700.4</f>
        <v>268130.40000000002</v>
      </c>
      <c r="X111" s="35">
        <f>3308.4</f>
        <v>3308.4</v>
      </c>
      <c r="Y111" s="37"/>
      <c r="Z111" s="36">
        <f t="shared" si="2"/>
        <v>283135.80000000005</v>
      </c>
    </row>
    <row r="112" spans="1:26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41"/>
      <c r="O112" s="157" t="s">
        <v>237</v>
      </c>
      <c r="P112" s="157"/>
      <c r="Q112" s="42"/>
      <c r="R112" s="42"/>
      <c r="S112" s="42"/>
      <c r="T112" s="42"/>
      <c r="U112" s="42"/>
      <c r="V112" s="43">
        <f>SUM(V10:V111)</f>
        <v>1192083</v>
      </c>
      <c r="W112" s="44">
        <f t="shared" ref="W112:Z112" si="4">SUM(W10:W111)</f>
        <v>25556630.840000007</v>
      </c>
      <c r="X112" s="44">
        <f t="shared" si="4"/>
        <v>341135.24000000022</v>
      </c>
      <c r="Y112" s="45">
        <f t="shared" si="4"/>
        <v>24392.659999999993</v>
      </c>
      <c r="Z112" s="45">
        <f t="shared" si="4"/>
        <v>27114241.739999995</v>
      </c>
    </row>
    <row r="113" spans="1:26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46"/>
      <c r="P113" s="46"/>
      <c r="Q113" s="46"/>
      <c r="R113" s="46"/>
      <c r="S113" s="46"/>
      <c r="T113" s="46"/>
      <c r="U113" s="46"/>
      <c r="V113" s="47"/>
      <c r="W113" s="48"/>
      <c r="X113" s="49"/>
      <c r="Y113" s="50"/>
      <c r="Z113" s="50"/>
    </row>
    <row r="114" spans="1:26" ht="15.75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158" t="s">
        <v>238</v>
      </c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</sheetData>
  <mergeCells count="131">
    <mergeCell ref="O112:P112"/>
    <mergeCell ref="N114:Z114"/>
    <mergeCell ref="O106:U106"/>
    <mergeCell ref="O107:U107"/>
    <mergeCell ref="O108:U108"/>
    <mergeCell ref="O109:U109"/>
    <mergeCell ref="O110:U110"/>
    <mergeCell ref="O111:U111"/>
    <mergeCell ref="O100:U100"/>
    <mergeCell ref="O101:U101"/>
    <mergeCell ref="O102:U102"/>
    <mergeCell ref="O103:U103"/>
    <mergeCell ref="O104:U104"/>
    <mergeCell ref="O105:U105"/>
    <mergeCell ref="O94:U94"/>
    <mergeCell ref="O95:U95"/>
    <mergeCell ref="O96:U96"/>
    <mergeCell ref="O97:U97"/>
    <mergeCell ref="O98:U98"/>
    <mergeCell ref="O99:U99"/>
    <mergeCell ref="O88:U88"/>
    <mergeCell ref="O89:U89"/>
    <mergeCell ref="O90:U90"/>
    <mergeCell ref="O91:U91"/>
    <mergeCell ref="O92:U92"/>
    <mergeCell ref="O93:U93"/>
    <mergeCell ref="O83:U83"/>
    <mergeCell ref="O84:U84"/>
    <mergeCell ref="O85:U85"/>
    <mergeCell ref="O86:U86"/>
    <mergeCell ref="O87:U87"/>
    <mergeCell ref="A88:I89"/>
    <mergeCell ref="J88:J89"/>
    <mergeCell ref="K88:K89"/>
    <mergeCell ref="L88:L89"/>
    <mergeCell ref="M88:M89"/>
    <mergeCell ref="O77:U77"/>
    <mergeCell ref="O78:U78"/>
    <mergeCell ref="O79:U79"/>
    <mergeCell ref="O80:U80"/>
    <mergeCell ref="O81:U81"/>
    <mergeCell ref="O82:U82"/>
    <mergeCell ref="O71:U71"/>
    <mergeCell ref="O72:U72"/>
    <mergeCell ref="O73:U73"/>
    <mergeCell ref="O74:U74"/>
    <mergeCell ref="O75:U75"/>
    <mergeCell ref="O76:U76"/>
    <mergeCell ref="O65:U65"/>
    <mergeCell ref="O66:U66"/>
    <mergeCell ref="O67:U67"/>
    <mergeCell ref="O68:U68"/>
    <mergeCell ref="O69:U69"/>
    <mergeCell ref="O70:U70"/>
    <mergeCell ref="O63:U63"/>
    <mergeCell ref="V63:V64"/>
    <mergeCell ref="W63:W64"/>
    <mergeCell ref="X63:X64"/>
    <mergeCell ref="Y63:Y64"/>
    <mergeCell ref="Z63:Z64"/>
    <mergeCell ref="O64:U64"/>
    <mergeCell ref="O57:U57"/>
    <mergeCell ref="O58:U58"/>
    <mergeCell ref="O59:U59"/>
    <mergeCell ref="O60:U60"/>
    <mergeCell ref="O61:U61"/>
    <mergeCell ref="O62:U62"/>
    <mergeCell ref="O51:U51"/>
    <mergeCell ref="O52:U52"/>
    <mergeCell ref="O53:U53"/>
    <mergeCell ref="O54:U54"/>
    <mergeCell ref="O55:U55"/>
    <mergeCell ref="O56:U56"/>
    <mergeCell ref="O45:U45"/>
    <mergeCell ref="O46:U46"/>
    <mergeCell ref="O47:U47"/>
    <mergeCell ref="O48:U48"/>
    <mergeCell ref="O49:U49"/>
    <mergeCell ref="O50:U50"/>
    <mergeCell ref="O39:U39"/>
    <mergeCell ref="O40:U40"/>
    <mergeCell ref="O41:U41"/>
    <mergeCell ref="O42:U42"/>
    <mergeCell ref="O43:U43"/>
    <mergeCell ref="O44:U44"/>
    <mergeCell ref="O33:U33"/>
    <mergeCell ref="O34:U34"/>
    <mergeCell ref="O35:U35"/>
    <mergeCell ref="O36:U36"/>
    <mergeCell ref="O37:U37"/>
    <mergeCell ref="O38:U38"/>
    <mergeCell ref="O27:U27"/>
    <mergeCell ref="O28:U28"/>
    <mergeCell ref="O29:U29"/>
    <mergeCell ref="O30:U30"/>
    <mergeCell ref="O31:U31"/>
    <mergeCell ref="O32:U32"/>
    <mergeCell ref="O21:U21"/>
    <mergeCell ref="O22:U22"/>
    <mergeCell ref="O23:U23"/>
    <mergeCell ref="O24:U24"/>
    <mergeCell ref="O25:U25"/>
    <mergeCell ref="O26:U26"/>
    <mergeCell ref="B16:I16"/>
    <mergeCell ref="O16:U16"/>
    <mergeCell ref="O17:U17"/>
    <mergeCell ref="O18:U18"/>
    <mergeCell ref="O19:U19"/>
    <mergeCell ref="O20:U20"/>
    <mergeCell ref="B13:I13"/>
    <mergeCell ref="O13:U13"/>
    <mergeCell ref="B14:I14"/>
    <mergeCell ref="O14:U14"/>
    <mergeCell ref="B15:I15"/>
    <mergeCell ref="O15:U15"/>
    <mergeCell ref="B10:I10"/>
    <mergeCell ref="O10:U10"/>
    <mergeCell ref="B11:I11"/>
    <mergeCell ref="O11:U11"/>
    <mergeCell ref="B12:I12"/>
    <mergeCell ref="O12:U12"/>
    <mergeCell ref="X2:Z2"/>
    <mergeCell ref="W3:Z3"/>
    <mergeCell ref="A4:Z6"/>
    <mergeCell ref="A7:A9"/>
    <mergeCell ref="B7:I9"/>
    <mergeCell ref="J7:J9"/>
    <mergeCell ref="K7:K9"/>
    <mergeCell ref="L7:L9"/>
    <mergeCell ref="M7:M9"/>
    <mergeCell ref="O9:P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D3" sqref="D3:J3"/>
    </sheetView>
  </sheetViews>
  <sheetFormatPr defaultRowHeight="15" x14ac:dyDescent="0.25"/>
  <cols>
    <col min="1" max="1" width="4.7109375" customWidth="1"/>
    <col min="8" max="8" width="3.28515625" customWidth="1"/>
    <col min="9" max="9" width="4.28515625" customWidth="1"/>
    <col min="10" max="10" width="16.7109375" customWidth="1"/>
    <col min="11" max="12" width="9.140625" customWidth="1"/>
    <col min="13" max="14" width="9.140625" hidden="1" customWidth="1"/>
    <col min="15" max="15" width="11.42578125" hidden="1" customWidth="1"/>
    <col min="16" max="16" width="11.42578125" bestFit="1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  <c r="I1" s="25"/>
      <c r="J1" s="51" t="s">
        <v>11</v>
      </c>
    </row>
    <row r="2" spans="1:10" x14ac:dyDescent="0.25">
      <c r="A2" s="25"/>
      <c r="B2" s="25"/>
      <c r="C2" s="25"/>
      <c r="D2" s="25"/>
      <c r="E2" s="25"/>
      <c r="F2" s="25"/>
      <c r="G2" s="91" t="s">
        <v>130</v>
      </c>
      <c r="H2" s="91"/>
      <c r="I2" s="91"/>
      <c r="J2" s="91"/>
    </row>
    <row r="3" spans="1:10" x14ac:dyDescent="0.25">
      <c r="A3" s="25"/>
      <c r="B3" s="25"/>
      <c r="C3" s="25"/>
      <c r="D3" s="91" t="s">
        <v>239</v>
      </c>
      <c r="E3" s="91"/>
      <c r="F3" s="91"/>
      <c r="G3" s="91"/>
      <c r="H3" s="91"/>
      <c r="I3" s="91"/>
      <c r="J3" s="91"/>
    </row>
    <row r="4" spans="1:10" ht="45.75" customHeight="1" x14ac:dyDescent="0.3">
      <c r="A4" s="92" t="s">
        <v>122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8.75" x14ac:dyDescent="0.3">
      <c r="A5" s="52"/>
      <c r="B5" s="53"/>
      <c r="C5" s="53"/>
      <c r="D5" s="53"/>
      <c r="E5" s="53"/>
      <c r="F5" s="52"/>
      <c r="G5" s="52"/>
      <c r="H5" s="52"/>
      <c r="I5" s="52"/>
      <c r="J5" s="52"/>
    </row>
    <row r="6" spans="1:10" ht="15" customHeight="1" x14ac:dyDescent="0.25">
      <c r="A6" s="94" t="s">
        <v>1</v>
      </c>
      <c r="B6" s="96" t="s">
        <v>2</v>
      </c>
      <c r="C6" s="97"/>
      <c r="D6" s="97"/>
      <c r="E6" s="97"/>
      <c r="F6" s="97"/>
      <c r="G6" s="97"/>
      <c r="H6" s="97"/>
      <c r="I6" s="98"/>
      <c r="J6" s="102" t="s">
        <v>9</v>
      </c>
    </row>
    <row r="7" spans="1:10" ht="20.25" customHeight="1" x14ac:dyDescent="0.25">
      <c r="A7" s="95"/>
      <c r="B7" s="99"/>
      <c r="C7" s="100"/>
      <c r="D7" s="100"/>
      <c r="E7" s="100"/>
      <c r="F7" s="100"/>
      <c r="G7" s="100"/>
      <c r="H7" s="100"/>
      <c r="I7" s="101"/>
      <c r="J7" s="102"/>
    </row>
    <row r="8" spans="1:10" ht="20.25" customHeight="1" x14ac:dyDescent="0.25">
      <c r="A8" s="159" t="s">
        <v>49</v>
      </c>
      <c r="B8" s="160"/>
      <c r="C8" s="160"/>
      <c r="D8" s="160"/>
      <c r="E8" s="160"/>
      <c r="F8" s="160"/>
      <c r="G8" s="160"/>
      <c r="H8" s="160"/>
      <c r="I8" s="161"/>
      <c r="J8" s="62">
        <f>SUM(J9:J11)</f>
        <v>263147.18</v>
      </c>
    </row>
    <row r="9" spans="1:10" ht="21.75" customHeight="1" x14ac:dyDescent="0.25">
      <c r="A9" s="63">
        <v>1</v>
      </c>
      <c r="B9" s="109" t="s">
        <v>20</v>
      </c>
      <c r="C9" s="110"/>
      <c r="D9" s="110"/>
      <c r="E9" s="110"/>
      <c r="F9" s="110"/>
      <c r="G9" s="110"/>
      <c r="H9" s="110"/>
      <c r="I9" s="111"/>
      <c r="J9" s="64">
        <v>22794</v>
      </c>
    </row>
    <row r="10" spans="1:10" ht="17.25" customHeight="1" x14ac:dyDescent="0.25">
      <c r="A10" s="60">
        <v>2</v>
      </c>
      <c r="B10" s="109" t="s">
        <v>19</v>
      </c>
      <c r="C10" s="110"/>
      <c r="D10" s="110"/>
      <c r="E10" s="110"/>
      <c r="F10" s="110"/>
      <c r="G10" s="110"/>
      <c r="H10" s="110"/>
      <c r="I10" s="111"/>
      <c r="J10" s="65">
        <f>81647+155450</f>
        <v>237097</v>
      </c>
    </row>
    <row r="11" spans="1:10" ht="16.5" customHeight="1" x14ac:dyDescent="0.25">
      <c r="A11" s="60">
        <v>3</v>
      </c>
      <c r="B11" s="109" t="s">
        <v>7</v>
      </c>
      <c r="C11" s="110"/>
      <c r="D11" s="110"/>
      <c r="E11" s="110"/>
      <c r="F11" s="110"/>
      <c r="G11" s="110"/>
      <c r="H11" s="110"/>
      <c r="I11" s="111"/>
      <c r="J11" s="66">
        <v>3256.18</v>
      </c>
    </row>
    <row r="12" spans="1:10" ht="18" customHeight="1" x14ac:dyDescent="0.25">
      <c r="A12" s="159" t="s">
        <v>39</v>
      </c>
      <c r="B12" s="160"/>
      <c r="C12" s="160"/>
      <c r="D12" s="160"/>
      <c r="E12" s="160"/>
      <c r="F12" s="160"/>
      <c r="G12" s="160"/>
      <c r="H12" s="160"/>
      <c r="I12" s="161"/>
      <c r="J12" s="67">
        <f>SUM(J13:J15)</f>
        <v>263147.18</v>
      </c>
    </row>
    <row r="13" spans="1:10" ht="19.5" customHeight="1" x14ac:dyDescent="0.25">
      <c r="A13" s="60">
        <v>1</v>
      </c>
      <c r="B13" s="109" t="s">
        <v>20</v>
      </c>
      <c r="C13" s="110"/>
      <c r="D13" s="110"/>
      <c r="E13" s="110"/>
      <c r="F13" s="110"/>
      <c r="G13" s="110"/>
      <c r="H13" s="110"/>
      <c r="I13" s="111"/>
      <c r="J13" s="64">
        <v>22794</v>
      </c>
    </row>
    <row r="14" spans="1:10" ht="18.75" customHeight="1" x14ac:dyDescent="0.25">
      <c r="A14" s="60">
        <v>2</v>
      </c>
      <c r="B14" s="109" t="s">
        <v>19</v>
      </c>
      <c r="C14" s="110"/>
      <c r="D14" s="110"/>
      <c r="E14" s="110"/>
      <c r="F14" s="110"/>
      <c r="G14" s="110"/>
      <c r="H14" s="110"/>
      <c r="I14" s="111"/>
      <c r="J14" s="65">
        <f>81647+155450</f>
        <v>237097</v>
      </c>
    </row>
    <row r="15" spans="1:10" ht="20.25" customHeight="1" x14ac:dyDescent="0.25">
      <c r="A15" s="60">
        <v>3</v>
      </c>
      <c r="B15" s="109" t="s">
        <v>7</v>
      </c>
      <c r="C15" s="110"/>
      <c r="D15" s="110"/>
      <c r="E15" s="110"/>
      <c r="F15" s="110"/>
      <c r="G15" s="110"/>
      <c r="H15" s="110"/>
      <c r="I15" s="111"/>
      <c r="J15" s="66">
        <v>3256.18</v>
      </c>
    </row>
    <row r="16" spans="1:10" ht="19.5" customHeight="1" x14ac:dyDescent="0.25">
      <c r="A16" s="159" t="s">
        <v>50</v>
      </c>
      <c r="B16" s="160"/>
      <c r="C16" s="160"/>
      <c r="D16" s="160"/>
      <c r="E16" s="160"/>
      <c r="F16" s="160"/>
      <c r="G16" s="160"/>
      <c r="H16" s="160"/>
      <c r="I16" s="161"/>
      <c r="J16" s="67">
        <f>SUM(J17:J19)</f>
        <v>263147.15000000002</v>
      </c>
    </row>
    <row r="17" spans="1:10" ht="21" customHeight="1" x14ac:dyDescent="0.25">
      <c r="A17" s="60">
        <v>1</v>
      </c>
      <c r="B17" s="109" t="s">
        <v>20</v>
      </c>
      <c r="C17" s="110"/>
      <c r="D17" s="110"/>
      <c r="E17" s="110"/>
      <c r="F17" s="110"/>
      <c r="G17" s="110"/>
      <c r="H17" s="110"/>
      <c r="I17" s="111"/>
      <c r="J17" s="64">
        <v>22794</v>
      </c>
    </row>
    <row r="18" spans="1:10" ht="16.5" customHeight="1" x14ac:dyDescent="0.25">
      <c r="A18" s="60">
        <v>2</v>
      </c>
      <c r="B18" s="109" t="s">
        <v>19</v>
      </c>
      <c r="C18" s="110"/>
      <c r="D18" s="110"/>
      <c r="E18" s="110"/>
      <c r="F18" s="110"/>
      <c r="G18" s="110"/>
      <c r="H18" s="110"/>
      <c r="I18" s="111"/>
      <c r="J18" s="65">
        <f>81647+155450</f>
        <v>237097</v>
      </c>
    </row>
    <row r="19" spans="1:10" ht="18" customHeight="1" x14ac:dyDescent="0.25">
      <c r="A19" s="60">
        <v>3</v>
      </c>
      <c r="B19" s="109" t="s">
        <v>7</v>
      </c>
      <c r="C19" s="110"/>
      <c r="D19" s="110"/>
      <c r="E19" s="110"/>
      <c r="F19" s="110"/>
      <c r="G19" s="110"/>
      <c r="H19" s="110"/>
      <c r="I19" s="111"/>
      <c r="J19" s="66">
        <v>3256.15</v>
      </c>
    </row>
    <row r="20" spans="1:10" ht="21" customHeight="1" x14ac:dyDescent="0.25">
      <c r="A20" s="159" t="s">
        <v>51</v>
      </c>
      <c r="B20" s="160"/>
      <c r="C20" s="160"/>
      <c r="D20" s="160"/>
      <c r="E20" s="160"/>
      <c r="F20" s="160"/>
      <c r="G20" s="160"/>
      <c r="H20" s="160"/>
      <c r="I20" s="161"/>
      <c r="J20" s="67">
        <f>SUM(J21:J23)</f>
        <v>263147.19</v>
      </c>
    </row>
    <row r="21" spans="1:10" ht="18" customHeight="1" x14ac:dyDescent="0.25">
      <c r="A21" s="60">
        <v>1</v>
      </c>
      <c r="B21" s="109" t="s">
        <v>20</v>
      </c>
      <c r="C21" s="110"/>
      <c r="D21" s="110"/>
      <c r="E21" s="110"/>
      <c r="F21" s="110"/>
      <c r="G21" s="110"/>
      <c r="H21" s="110"/>
      <c r="I21" s="111"/>
      <c r="J21" s="64">
        <v>22794</v>
      </c>
    </row>
    <row r="22" spans="1:10" ht="17.25" customHeight="1" x14ac:dyDescent="0.25">
      <c r="A22" s="60">
        <v>2</v>
      </c>
      <c r="B22" s="109" t="s">
        <v>19</v>
      </c>
      <c r="C22" s="110"/>
      <c r="D22" s="110"/>
      <c r="E22" s="110"/>
      <c r="F22" s="110"/>
      <c r="G22" s="110"/>
      <c r="H22" s="110"/>
      <c r="I22" s="111"/>
      <c r="J22" s="65">
        <f>81647+155450</f>
        <v>237097</v>
      </c>
    </row>
    <row r="23" spans="1:10" ht="15" customHeight="1" x14ac:dyDescent="0.25">
      <c r="A23" s="60">
        <v>3</v>
      </c>
      <c r="B23" s="109" t="s">
        <v>7</v>
      </c>
      <c r="C23" s="110"/>
      <c r="D23" s="110"/>
      <c r="E23" s="110"/>
      <c r="F23" s="110"/>
      <c r="G23" s="110"/>
      <c r="H23" s="110"/>
      <c r="I23" s="111"/>
      <c r="J23" s="66">
        <v>3256.19</v>
      </c>
    </row>
    <row r="24" spans="1:10" ht="20.25" customHeight="1" x14ac:dyDescent="0.25">
      <c r="A24" s="159" t="s">
        <v>52</v>
      </c>
      <c r="B24" s="160"/>
      <c r="C24" s="160"/>
      <c r="D24" s="160"/>
      <c r="E24" s="160"/>
      <c r="F24" s="160"/>
      <c r="G24" s="160"/>
      <c r="H24" s="160"/>
      <c r="I24" s="161"/>
      <c r="J24" s="67">
        <f>SUM(J25:J27)</f>
        <v>1133810.05</v>
      </c>
    </row>
    <row r="25" spans="1:10" ht="21" customHeight="1" x14ac:dyDescent="0.25">
      <c r="A25" s="60">
        <v>1</v>
      </c>
      <c r="B25" s="109" t="s">
        <v>20</v>
      </c>
      <c r="C25" s="110"/>
      <c r="D25" s="110"/>
      <c r="E25" s="110"/>
      <c r="F25" s="110"/>
      <c r="G25" s="110"/>
      <c r="H25" s="110"/>
      <c r="I25" s="111"/>
      <c r="J25" s="68">
        <v>85186</v>
      </c>
    </row>
    <row r="26" spans="1:10" ht="19.5" customHeight="1" x14ac:dyDescent="0.25">
      <c r="A26" s="60">
        <v>2</v>
      </c>
      <c r="B26" s="109" t="s">
        <v>19</v>
      </c>
      <c r="C26" s="110"/>
      <c r="D26" s="110"/>
      <c r="E26" s="110"/>
      <c r="F26" s="110"/>
      <c r="G26" s="110"/>
      <c r="H26" s="110"/>
      <c r="I26" s="111"/>
      <c r="J26" s="65">
        <f>334000+700393</f>
        <v>1034393</v>
      </c>
    </row>
    <row r="27" spans="1:10" ht="21" customHeight="1" x14ac:dyDescent="0.25">
      <c r="A27" s="60">
        <v>3</v>
      </c>
      <c r="B27" s="109" t="s">
        <v>7</v>
      </c>
      <c r="C27" s="110"/>
      <c r="D27" s="110"/>
      <c r="E27" s="110"/>
      <c r="F27" s="110"/>
      <c r="G27" s="110"/>
      <c r="H27" s="110"/>
      <c r="I27" s="111"/>
      <c r="J27" s="66">
        <v>14231.05</v>
      </c>
    </row>
    <row r="28" spans="1:10" ht="17.25" customHeight="1" x14ac:dyDescent="0.25">
      <c r="A28" s="159" t="s">
        <v>53</v>
      </c>
      <c r="B28" s="160"/>
      <c r="C28" s="160"/>
      <c r="D28" s="160"/>
      <c r="E28" s="160"/>
      <c r="F28" s="160"/>
      <c r="G28" s="160"/>
      <c r="H28" s="160"/>
      <c r="I28" s="161"/>
      <c r="J28" s="67">
        <f>SUM(J29:J31)</f>
        <v>460273.25</v>
      </c>
    </row>
    <row r="29" spans="1:10" ht="20.25" customHeight="1" x14ac:dyDescent="0.25">
      <c r="A29" s="60">
        <v>1</v>
      </c>
      <c r="B29" s="109" t="s">
        <v>20</v>
      </c>
      <c r="C29" s="110"/>
      <c r="D29" s="110"/>
      <c r="E29" s="110"/>
      <c r="F29" s="110"/>
      <c r="G29" s="110"/>
      <c r="H29" s="110"/>
      <c r="I29" s="111"/>
      <c r="J29" s="68">
        <v>35198</v>
      </c>
    </row>
    <row r="30" spans="1:10" ht="20.25" customHeight="1" x14ac:dyDescent="0.25">
      <c r="A30" s="60">
        <v>2</v>
      </c>
      <c r="B30" s="109" t="s">
        <v>19</v>
      </c>
      <c r="C30" s="110"/>
      <c r="D30" s="110"/>
      <c r="E30" s="110"/>
      <c r="F30" s="110"/>
      <c r="G30" s="110"/>
      <c r="H30" s="110"/>
      <c r="I30" s="111"/>
      <c r="J30" s="65">
        <v>419313</v>
      </c>
    </row>
    <row r="31" spans="1:10" ht="19.5" customHeight="1" x14ac:dyDescent="0.25">
      <c r="A31" s="60">
        <v>3</v>
      </c>
      <c r="B31" s="109" t="s">
        <v>7</v>
      </c>
      <c r="C31" s="110"/>
      <c r="D31" s="110"/>
      <c r="E31" s="110"/>
      <c r="F31" s="110"/>
      <c r="G31" s="110"/>
      <c r="H31" s="110"/>
      <c r="I31" s="111"/>
      <c r="J31" s="66">
        <v>5762.25</v>
      </c>
    </row>
    <row r="32" spans="1:10" ht="25.5" customHeight="1" x14ac:dyDescent="0.25">
      <c r="A32" s="159" t="s">
        <v>23</v>
      </c>
      <c r="B32" s="160"/>
      <c r="C32" s="160"/>
      <c r="D32" s="160"/>
      <c r="E32" s="160"/>
      <c r="F32" s="160"/>
      <c r="G32" s="160"/>
      <c r="H32" s="160"/>
      <c r="I32" s="161"/>
      <c r="J32" s="69">
        <f>SUM(J33:J35)</f>
        <v>592615.94999999995</v>
      </c>
    </row>
    <row r="33" spans="1:15" ht="25.5" customHeight="1" x14ac:dyDescent="0.25">
      <c r="A33" s="60">
        <v>1</v>
      </c>
      <c r="B33" s="109" t="s">
        <v>20</v>
      </c>
      <c r="C33" s="110"/>
      <c r="D33" s="110"/>
      <c r="E33" s="110"/>
      <c r="F33" s="110"/>
      <c r="G33" s="110"/>
      <c r="H33" s="110"/>
      <c r="I33" s="111"/>
      <c r="J33" s="68">
        <v>45294</v>
      </c>
    </row>
    <row r="34" spans="1:15" ht="25.5" customHeight="1" x14ac:dyDescent="0.25">
      <c r="A34" s="60">
        <v>2</v>
      </c>
      <c r="B34" s="109" t="s">
        <v>19</v>
      </c>
      <c r="C34" s="110"/>
      <c r="D34" s="110"/>
      <c r="E34" s="110"/>
      <c r="F34" s="110"/>
      <c r="G34" s="110"/>
      <c r="H34" s="110"/>
      <c r="I34" s="111"/>
      <c r="J34" s="65">
        <v>539903</v>
      </c>
    </row>
    <row r="35" spans="1:15" ht="25.5" customHeight="1" x14ac:dyDescent="0.25">
      <c r="A35" s="60">
        <v>3</v>
      </c>
      <c r="B35" s="109" t="s">
        <v>7</v>
      </c>
      <c r="C35" s="110"/>
      <c r="D35" s="110"/>
      <c r="E35" s="110"/>
      <c r="F35" s="110"/>
      <c r="G35" s="110"/>
      <c r="H35" s="110"/>
      <c r="I35" s="111"/>
      <c r="J35" s="66">
        <v>7418.95</v>
      </c>
    </row>
    <row r="36" spans="1:15" ht="25.5" customHeight="1" x14ac:dyDescent="0.25">
      <c r="A36" s="159" t="s">
        <v>42</v>
      </c>
      <c r="B36" s="160"/>
      <c r="C36" s="160"/>
      <c r="D36" s="160"/>
      <c r="E36" s="160"/>
      <c r="F36" s="160"/>
      <c r="G36" s="160"/>
      <c r="H36" s="160"/>
      <c r="I36" s="161"/>
      <c r="J36" s="69">
        <f>SUM(J37:J39)</f>
        <v>593793</v>
      </c>
    </row>
    <row r="37" spans="1:15" ht="25.5" customHeight="1" x14ac:dyDescent="0.25">
      <c r="A37" s="60">
        <v>1</v>
      </c>
      <c r="B37" s="109" t="s">
        <v>20</v>
      </c>
      <c r="C37" s="110"/>
      <c r="D37" s="110"/>
      <c r="E37" s="110"/>
      <c r="F37" s="110"/>
      <c r="G37" s="110"/>
      <c r="H37" s="110"/>
      <c r="I37" s="111"/>
      <c r="J37" s="68">
        <v>45294</v>
      </c>
    </row>
    <row r="38" spans="1:15" ht="25.5" customHeight="1" x14ac:dyDescent="0.25">
      <c r="A38" s="60">
        <v>2</v>
      </c>
      <c r="B38" s="109" t="s">
        <v>19</v>
      </c>
      <c r="C38" s="110"/>
      <c r="D38" s="110"/>
      <c r="E38" s="110"/>
      <c r="F38" s="110"/>
      <c r="G38" s="110"/>
      <c r="H38" s="110"/>
      <c r="I38" s="111"/>
      <c r="J38" s="65">
        <v>541063</v>
      </c>
    </row>
    <row r="39" spans="1:15" ht="25.5" customHeight="1" x14ac:dyDescent="0.25">
      <c r="A39" s="60">
        <v>3</v>
      </c>
      <c r="B39" s="109" t="s">
        <v>7</v>
      </c>
      <c r="C39" s="110"/>
      <c r="D39" s="110"/>
      <c r="E39" s="110"/>
      <c r="F39" s="110"/>
      <c r="G39" s="110"/>
      <c r="H39" s="110"/>
      <c r="I39" s="111"/>
      <c r="J39" s="65">
        <f>7436</f>
        <v>7436</v>
      </c>
    </row>
    <row r="40" spans="1:15" ht="25.5" customHeight="1" x14ac:dyDescent="0.25">
      <c r="A40" s="159" t="s">
        <v>54</v>
      </c>
      <c r="B40" s="160"/>
      <c r="C40" s="160"/>
      <c r="D40" s="160"/>
      <c r="E40" s="160"/>
      <c r="F40" s="160"/>
      <c r="G40" s="160"/>
      <c r="H40" s="160"/>
      <c r="I40" s="161"/>
      <c r="J40" s="69">
        <f>SUM(J41:J43)</f>
        <v>711719.2</v>
      </c>
      <c r="O40" t="s">
        <v>62</v>
      </c>
    </row>
    <row r="41" spans="1:15" ht="25.5" customHeight="1" x14ac:dyDescent="0.25">
      <c r="A41" s="60">
        <v>1</v>
      </c>
      <c r="B41" s="109" t="s">
        <v>20</v>
      </c>
      <c r="C41" s="110"/>
      <c r="D41" s="110"/>
      <c r="E41" s="110"/>
      <c r="F41" s="110"/>
      <c r="G41" s="110"/>
      <c r="H41" s="110"/>
      <c r="I41" s="111"/>
      <c r="J41" s="68">
        <v>59126</v>
      </c>
      <c r="M41" s="162">
        <v>1516011</v>
      </c>
      <c r="N41" s="3">
        <v>2019</v>
      </c>
      <c r="O41" s="1">
        <f>J9+J10+J11+J13+J14+J15+J17+J18+J19+J21+J22+J23+J25+J26+J27+J29+J33+J37+J41+J45+J49+J53+J57+J61+J65+J69+J73</f>
        <v>2660185.75</v>
      </c>
    </row>
    <row r="42" spans="1:15" ht="25.5" customHeight="1" x14ac:dyDescent="0.25">
      <c r="A42" s="60">
        <v>2</v>
      </c>
      <c r="B42" s="109" t="s">
        <v>19</v>
      </c>
      <c r="C42" s="110"/>
      <c r="D42" s="110"/>
      <c r="E42" s="110"/>
      <c r="F42" s="110"/>
      <c r="G42" s="110"/>
      <c r="H42" s="110"/>
      <c r="I42" s="111"/>
      <c r="J42" s="65">
        <v>643735</v>
      </c>
      <c r="M42" s="162"/>
      <c r="N42">
        <v>2020</v>
      </c>
      <c r="O42" s="4">
        <f>J30+J31+J34+J35+J38+J39+J42+J43+J46+J47+J50+J51+J58+J66+J70+J74+J59+J67+J71+J75</f>
        <v>5115162.28</v>
      </c>
    </row>
    <row r="43" spans="1:15" ht="25.5" customHeight="1" x14ac:dyDescent="0.25">
      <c r="A43" s="60">
        <v>3</v>
      </c>
      <c r="B43" s="109" t="s">
        <v>7</v>
      </c>
      <c r="C43" s="110"/>
      <c r="D43" s="110"/>
      <c r="E43" s="110"/>
      <c r="F43" s="110"/>
      <c r="G43" s="110"/>
      <c r="H43" s="110"/>
      <c r="I43" s="111"/>
      <c r="J43" s="66">
        <v>8858.2000000000007</v>
      </c>
      <c r="M43">
        <v>1517310</v>
      </c>
      <c r="N43">
        <v>2020</v>
      </c>
      <c r="O43" s="1">
        <f>J54+J55+J62+J63</f>
        <v>534424.16999999993</v>
      </c>
    </row>
    <row r="44" spans="1:15" ht="25.5" customHeight="1" x14ac:dyDescent="0.25">
      <c r="A44" s="159" t="s">
        <v>55</v>
      </c>
      <c r="B44" s="160"/>
      <c r="C44" s="160"/>
      <c r="D44" s="160"/>
      <c r="E44" s="160"/>
      <c r="F44" s="160"/>
      <c r="G44" s="160"/>
      <c r="H44" s="160"/>
      <c r="I44" s="161"/>
      <c r="J44" s="69">
        <f>SUM(J45:J47)</f>
        <v>533287.4</v>
      </c>
      <c r="O44" s="1">
        <f>SUM(O41:O43)</f>
        <v>8309772.2000000002</v>
      </c>
    </row>
    <row r="45" spans="1:15" ht="25.5" customHeight="1" x14ac:dyDescent="0.25">
      <c r="A45" s="60">
        <v>1</v>
      </c>
      <c r="B45" s="109" t="s">
        <v>20</v>
      </c>
      <c r="C45" s="110"/>
      <c r="D45" s="110"/>
      <c r="E45" s="110"/>
      <c r="F45" s="110"/>
      <c r="G45" s="110"/>
      <c r="H45" s="110"/>
      <c r="I45" s="111"/>
      <c r="J45" s="68">
        <v>42104</v>
      </c>
    </row>
    <row r="46" spans="1:15" ht="25.5" customHeight="1" x14ac:dyDescent="0.25">
      <c r="A46" s="60">
        <v>2</v>
      </c>
      <c r="B46" s="109" t="s">
        <v>19</v>
      </c>
      <c r="C46" s="110"/>
      <c r="D46" s="110"/>
      <c r="E46" s="110"/>
      <c r="F46" s="110"/>
      <c r="G46" s="110"/>
      <c r="H46" s="110"/>
      <c r="I46" s="111"/>
      <c r="J46" s="65">
        <v>484519</v>
      </c>
    </row>
    <row r="47" spans="1:15" ht="25.5" customHeight="1" x14ac:dyDescent="0.25">
      <c r="A47" s="60">
        <v>3</v>
      </c>
      <c r="B47" s="109" t="s">
        <v>7</v>
      </c>
      <c r="C47" s="110"/>
      <c r="D47" s="110"/>
      <c r="E47" s="110"/>
      <c r="F47" s="110"/>
      <c r="G47" s="110"/>
      <c r="H47" s="110"/>
      <c r="I47" s="111"/>
      <c r="J47" s="66">
        <v>6664.4</v>
      </c>
    </row>
    <row r="48" spans="1:15" ht="25.5" customHeight="1" x14ac:dyDescent="0.25">
      <c r="A48" s="159" t="s">
        <v>61</v>
      </c>
      <c r="B48" s="160"/>
      <c r="C48" s="160"/>
      <c r="D48" s="160"/>
      <c r="E48" s="160"/>
      <c r="F48" s="160"/>
      <c r="G48" s="160"/>
      <c r="H48" s="160"/>
      <c r="I48" s="161"/>
      <c r="J48" s="70">
        <f>SUM(J49:J51)</f>
        <v>596075.27</v>
      </c>
    </row>
    <row r="49" spans="1:10" ht="25.5" customHeight="1" x14ac:dyDescent="0.25">
      <c r="A49" s="60">
        <v>1</v>
      </c>
      <c r="B49" s="109" t="s">
        <v>20</v>
      </c>
      <c r="C49" s="110"/>
      <c r="D49" s="110"/>
      <c r="E49" s="110"/>
      <c r="F49" s="110"/>
      <c r="G49" s="110"/>
      <c r="H49" s="110"/>
      <c r="I49" s="111"/>
      <c r="J49" s="65">
        <v>45294</v>
      </c>
    </row>
    <row r="50" spans="1:10" ht="25.5" customHeight="1" x14ac:dyDescent="0.25">
      <c r="A50" s="60">
        <v>2</v>
      </c>
      <c r="B50" s="109" t="s">
        <v>19</v>
      </c>
      <c r="C50" s="110"/>
      <c r="D50" s="110"/>
      <c r="E50" s="110"/>
      <c r="F50" s="110"/>
      <c r="G50" s="110"/>
      <c r="H50" s="110"/>
      <c r="I50" s="111"/>
      <c r="J50" s="65">
        <v>543315</v>
      </c>
    </row>
    <row r="51" spans="1:10" ht="24.75" customHeight="1" x14ac:dyDescent="0.25">
      <c r="A51" s="60">
        <v>3</v>
      </c>
      <c r="B51" s="109" t="s">
        <v>7</v>
      </c>
      <c r="C51" s="110"/>
      <c r="D51" s="110"/>
      <c r="E51" s="110"/>
      <c r="F51" s="110"/>
      <c r="G51" s="110"/>
      <c r="H51" s="110"/>
      <c r="I51" s="111"/>
      <c r="J51" s="66">
        <v>7466.27</v>
      </c>
    </row>
    <row r="52" spans="1:10" ht="32.25" customHeight="1" x14ac:dyDescent="0.25">
      <c r="A52" s="159" t="s">
        <v>88</v>
      </c>
      <c r="B52" s="160"/>
      <c r="C52" s="160"/>
      <c r="D52" s="160"/>
      <c r="E52" s="160"/>
      <c r="F52" s="160"/>
      <c r="G52" s="160"/>
      <c r="H52" s="160"/>
      <c r="I52" s="161"/>
      <c r="J52" s="70">
        <f>SUM(J53:J55)</f>
        <v>251247.71</v>
      </c>
    </row>
    <row r="53" spans="1:10" ht="33.75" customHeight="1" x14ac:dyDescent="0.25">
      <c r="A53" s="60">
        <v>1</v>
      </c>
      <c r="B53" s="109" t="s">
        <v>20</v>
      </c>
      <c r="C53" s="110"/>
      <c r="D53" s="110"/>
      <c r="E53" s="110"/>
      <c r="F53" s="110"/>
      <c r="G53" s="110"/>
      <c r="H53" s="110"/>
      <c r="I53" s="111"/>
      <c r="J53" s="65">
        <v>20196</v>
      </c>
    </row>
    <row r="54" spans="1:10" ht="34.5" customHeight="1" x14ac:dyDescent="0.25">
      <c r="A54" s="60">
        <v>2</v>
      </c>
      <c r="B54" s="109" t="s">
        <v>19</v>
      </c>
      <c r="C54" s="110"/>
      <c r="D54" s="110"/>
      <c r="E54" s="110"/>
      <c r="F54" s="110"/>
      <c r="G54" s="110"/>
      <c r="H54" s="110"/>
      <c r="I54" s="111"/>
      <c r="J54" s="65">
        <v>227922</v>
      </c>
    </row>
    <row r="55" spans="1:10" ht="43.5" customHeight="1" x14ac:dyDescent="0.25">
      <c r="A55" s="60">
        <v>3</v>
      </c>
      <c r="B55" s="109" t="s">
        <v>7</v>
      </c>
      <c r="C55" s="110"/>
      <c r="D55" s="110"/>
      <c r="E55" s="110"/>
      <c r="F55" s="110"/>
      <c r="G55" s="110"/>
      <c r="H55" s="110"/>
      <c r="I55" s="111"/>
      <c r="J55" s="66">
        <v>3129.71</v>
      </c>
    </row>
    <row r="56" spans="1:10" ht="25.5" customHeight="1" x14ac:dyDescent="0.25">
      <c r="A56" s="159" t="s">
        <v>89</v>
      </c>
      <c r="B56" s="160"/>
      <c r="C56" s="160"/>
      <c r="D56" s="160"/>
      <c r="E56" s="160"/>
      <c r="F56" s="160"/>
      <c r="G56" s="160"/>
      <c r="H56" s="160"/>
      <c r="I56" s="161"/>
      <c r="J56" s="70">
        <f>SUM(J57:J59)</f>
        <v>303352.98</v>
      </c>
    </row>
    <row r="57" spans="1:10" ht="25.5" customHeight="1" x14ac:dyDescent="0.25">
      <c r="A57" s="60">
        <v>1</v>
      </c>
      <c r="B57" s="109" t="s">
        <v>20</v>
      </c>
      <c r="C57" s="110"/>
      <c r="D57" s="110"/>
      <c r="E57" s="110"/>
      <c r="F57" s="110"/>
      <c r="G57" s="110"/>
      <c r="H57" s="110"/>
      <c r="I57" s="111"/>
      <c r="J57" s="65">
        <v>24360</v>
      </c>
    </row>
    <row r="58" spans="1:10" ht="25.5" customHeight="1" x14ac:dyDescent="0.25">
      <c r="A58" s="60">
        <v>2</v>
      </c>
      <c r="B58" s="109" t="s">
        <v>19</v>
      </c>
      <c r="C58" s="110"/>
      <c r="D58" s="110"/>
      <c r="E58" s="110"/>
      <c r="F58" s="110"/>
      <c r="G58" s="110"/>
      <c r="H58" s="110"/>
      <c r="I58" s="111"/>
      <c r="J58" s="65">
        <v>275217</v>
      </c>
    </row>
    <row r="59" spans="1:10" ht="21.75" customHeight="1" x14ac:dyDescent="0.25">
      <c r="A59" s="60">
        <v>3</v>
      </c>
      <c r="B59" s="109" t="s">
        <v>7</v>
      </c>
      <c r="C59" s="110"/>
      <c r="D59" s="110"/>
      <c r="E59" s="110"/>
      <c r="F59" s="110"/>
      <c r="G59" s="110"/>
      <c r="H59" s="110"/>
      <c r="I59" s="111"/>
      <c r="J59" s="66">
        <v>3775.98</v>
      </c>
    </row>
    <row r="60" spans="1:10" ht="31.5" customHeight="1" x14ac:dyDescent="0.25">
      <c r="A60" s="159" t="s">
        <v>90</v>
      </c>
      <c r="B60" s="160"/>
      <c r="C60" s="160"/>
      <c r="D60" s="160"/>
      <c r="E60" s="160"/>
      <c r="F60" s="160"/>
      <c r="G60" s="160"/>
      <c r="H60" s="160"/>
      <c r="I60" s="161"/>
      <c r="J60" s="70">
        <f>SUM(J61:J63)</f>
        <v>327732.46000000002</v>
      </c>
    </row>
    <row r="61" spans="1:10" ht="33" customHeight="1" x14ac:dyDescent="0.25">
      <c r="A61" s="60">
        <v>1</v>
      </c>
      <c r="B61" s="109" t="s">
        <v>20</v>
      </c>
      <c r="C61" s="110"/>
      <c r="D61" s="110"/>
      <c r="E61" s="110"/>
      <c r="F61" s="110"/>
      <c r="G61" s="110"/>
      <c r="H61" s="110"/>
      <c r="I61" s="111"/>
      <c r="J61" s="65">
        <v>24360</v>
      </c>
    </row>
    <row r="62" spans="1:10" ht="36.75" customHeight="1" x14ac:dyDescent="0.25">
      <c r="A62" s="60">
        <v>2</v>
      </c>
      <c r="B62" s="109" t="s">
        <v>19</v>
      </c>
      <c r="C62" s="110"/>
      <c r="D62" s="110"/>
      <c r="E62" s="110"/>
      <c r="F62" s="110"/>
      <c r="G62" s="110"/>
      <c r="H62" s="110"/>
      <c r="I62" s="111"/>
      <c r="J62" s="65">
        <v>299255</v>
      </c>
    </row>
    <row r="63" spans="1:10" ht="35.25" customHeight="1" x14ac:dyDescent="0.25">
      <c r="A63" s="60">
        <v>3</v>
      </c>
      <c r="B63" s="109" t="s">
        <v>7</v>
      </c>
      <c r="C63" s="110"/>
      <c r="D63" s="110"/>
      <c r="E63" s="110"/>
      <c r="F63" s="110"/>
      <c r="G63" s="110"/>
      <c r="H63" s="110"/>
      <c r="I63" s="111"/>
      <c r="J63" s="66">
        <v>4117.46</v>
      </c>
    </row>
    <row r="64" spans="1:10" ht="25.5" customHeight="1" x14ac:dyDescent="0.25">
      <c r="A64" s="159" t="s">
        <v>91</v>
      </c>
      <c r="B64" s="160"/>
      <c r="C64" s="160"/>
      <c r="D64" s="160"/>
      <c r="E64" s="160"/>
      <c r="F64" s="160"/>
      <c r="G64" s="160"/>
      <c r="H64" s="160"/>
      <c r="I64" s="161"/>
      <c r="J64" s="69">
        <f>SUM(J65:J67)</f>
        <v>531716.82999999996</v>
      </c>
    </row>
    <row r="65" spans="1:10" ht="25.5" customHeight="1" x14ac:dyDescent="0.25">
      <c r="A65" s="60">
        <v>1</v>
      </c>
      <c r="B65" s="109" t="s">
        <v>20</v>
      </c>
      <c r="C65" s="110"/>
      <c r="D65" s="110"/>
      <c r="E65" s="110"/>
      <c r="F65" s="110"/>
      <c r="G65" s="110"/>
      <c r="H65" s="110"/>
      <c r="I65" s="111"/>
      <c r="J65" s="68">
        <v>37228</v>
      </c>
    </row>
    <row r="66" spans="1:10" ht="25.5" customHeight="1" x14ac:dyDescent="0.25">
      <c r="A66" s="60">
        <v>2</v>
      </c>
      <c r="B66" s="109" t="s">
        <v>19</v>
      </c>
      <c r="C66" s="110"/>
      <c r="D66" s="110"/>
      <c r="E66" s="110"/>
      <c r="F66" s="110"/>
      <c r="G66" s="110"/>
      <c r="H66" s="110"/>
      <c r="I66" s="111"/>
      <c r="J66" s="65">
        <v>487764</v>
      </c>
    </row>
    <row r="67" spans="1:10" ht="25.5" customHeight="1" x14ac:dyDescent="0.25">
      <c r="A67" s="60">
        <v>3</v>
      </c>
      <c r="B67" s="109" t="s">
        <v>7</v>
      </c>
      <c r="C67" s="110"/>
      <c r="D67" s="110"/>
      <c r="E67" s="110"/>
      <c r="F67" s="110"/>
      <c r="G67" s="110"/>
      <c r="H67" s="110"/>
      <c r="I67" s="111"/>
      <c r="J67" s="66">
        <v>6724.83</v>
      </c>
    </row>
    <row r="68" spans="1:10" ht="25.5" customHeight="1" x14ac:dyDescent="0.25">
      <c r="A68" s="159" t="s">
        <v>92</v>
      </c>
      <c r="B68" s="160"/>
      <c r="C68" s="160"/>
      <c r="D68" s="160"/>
      <c r="E68" s="160"/>
      <c r="F68" s="160"/>
      <c r="G68" s="160"/>
      <c r="H68" s="160"/>
      <c r="I68" s="161"/>
      <c r="J68" s="69">
        <f>SUM(J69:J71)</f>
        <v>548078.02</v>
      </c>
    </row>
    <row r="69" spans="1:10" ht="25.5" customHeight="1" x14ac:dyDescent="0.25">
      <c r="A69" s="60">
        <v>1</v>
      </c>
      <c r="B69" s="109" t="s">
        <v>20</v>
      </c>
      <c r="C69" s="110"/>
      <c r="D69" s="110"/>
      <c r="E69" s="110"/>
      <c r="F69" s="110"/>
      <c r="G69" s="110"/>
      <c r="H69" s="110"/>
      <c r="I69" s="111"/>
      <c r="J69" s="68">
        <v>43525</v>
      </c>
    </row>
    <row r="70" spans="1:10" ht="25.5" customHeight="1" x14ac:dyDescent="0.25">
      <c r="A70" s="60">
        <v>2</v>
      </c>
      <c r="B70" s="109" t="s">
        <v>19</v>
      </c>
      <c r="C70" s="110"/>
      <c r="D70" s="110"/>
      <c r="E70" s="110"/>
      <c r="F70" s="110"/>
      <c r="G70" s="110"/>
      <c r="H70" s="110"/>
      <c r="I70" s="111"/>
      <c r="J70" s="65">
        <v>497697</v>
      </c>
    </row>
    <row r="71" spans="1:10" ht="25.5" customHeight="1" x14ac:dyDescent="0.25">
      <c r="A71" s="60">
        <v>3</v>
      </c>
      <c r="B71" s="109" t="s">
        <v>7</v>
      </c>
      <c r="C71" s="110"/>
      <c r="D71" s="110"/>
      <c r="E71" s="110"/>
      <c r="F71" s="110"/>
      <c r="G71" s="110"/>
      <c r="H71" s="110"/>
      <c r="I71" s="111"/>
      <c r="J71" s="66">
        <v>6856.02</v>
      </c>
    </row>
    <row r="72" spans="1:10" ht="25.5" customHeight="1" x14ac:dyDescent="0.25">
      <c r="A72" s="159" t="s">
        <v>36</v>
      </c>
      <c r="B72" s="160"/>
      <c r="C72" s="160"/>
      <c r="D72" s="160"/>
      <c r="E72" s="160"/>
      <c r="F72" s="160"/>
      <c r="G72" s="160"/>
      <c r="H72" s="160"/>
      <c r="I72" s="161"/>
      <c r="J72" s="69">
        <f>SUM(J73:J75)</f>
        <v>673481.38</v>
      </c>
    </row>
    <row r="73" spans="1:10" ht="25.5" customHeight="1" x14ac:dyDescent="0.25">
      <c r="A73" s="60">
        <v>1</v>
      </c>
      <c r="B73" s="109" t="s">
        <v>20</v>
      </c>
      <c r="C73" s="110"/>
      <c r="D73" s="110"/>
      <c r="E73" s="110"/>
      <c r="F73" s="110"/>
      <c r="G73" s="110"/>
      <c r="H73" s="110"/>
      <c r="I73" s="111"/>
      <c r="J73" s="68">
        <v>51808</v>
      </c>
    </row>
    <row r="74" spans="1:10" ht="25.5" customHeight="1" x14ac:dyDescent="0.25">
      <c r="A74" s="60">
        <v>2</v>
      </c>
      <c r="B74" s="109" t="s">
        <v>19</v>
      </c>
      <c r="C74" s="110"/>
      <c r="D74" s="110"/>
      <c r="E74" s="110"/>
      <c r="F74" s="110"/>
      <c r="G74" s="110"/>
      <c r="H74" s="110"/>
      <c r="I74" s="111"/>
      <c r="J74" s="65">
        <v>612939</v>
      </c>
    </row>
    <row r="75" spans="1:10" ht="25.5" customHeight="1" x14ac:dyDescent="0.25">
      <c r="A75" s="60">
        <v>3</v>
      </c>
      <c r="B75" s="109" t="s">
        <v>7</v>
      </c>
      <c r="C75" s="110"/>
      <c r="D75" s="110"/>
      <c r="E75" s="110"/>
      <c r="F75" s="110"/>
      <c r="G75" s="110"/>
      <c r="H75" s="110"/>
      <c r="I75" s="111"/>
      <c r="J75" s="66">
        <v>8734.3799999999992</v>
      </c>
    </row>
    <row r="76" spans="1:10" ht="15" customHeight="1" x14ac:dyDescent="0.25">
      <c r="A76" s="121" t="s">
        <v>48</v>
      </c>
      <c r="B76" s="122"/>
      <c r="C76" s="122"/>
      <c r="D76" s="122"/>
      <c r="E76" s="122"/>
      <c r="F76" s="122"/>
      <c r="G76" s="122"/>
      <c r="H76" s="122"/>
      <c r="I76" s="123"/>
      <c r="J76" s="114">
        <f>J8+J12+J16+J20+J24+J28+J32+J36+J40+J44+J48+J52+J56+J60+J64+J68+J72</f>
        <v>8309772.2000000002</v>
      </c>
    </row>
    <row r="77" spans="1:10" ht="15" customHeight="1" x14ac:dyDescent="0.25">
      <c r="A77" s="124"/>
      <c r="B77" s="125"/>
      <c r="C77" s="125"/>
      <c r="D77" s="125"/>
      <c r="E77" s="125"/>
      <c r="F77" s="125"/>
      <c r="G77" s="125"/>
      <c r="H77" s="125"/>
      <c r="I77" s="126"/>
      <c r="J77" s="114"/>
    </row>
    <row r="78" spans="1:10" ht="13.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</row>
    <row r="79" spans="1:10" hidden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</row>
    <row r="80" spans="1:10" ht="15" hidden="1" customHeight="1" x14ac:dyDescent="0.25">
      <c r="A80" s="163" t="s">
        <v>20</v>
      </c>
      <c r="B80" s="163"/>
      <c r="C80" s="163"/>
      <c r="D80" s="163"/>
      <c r="E80" s="163"/>
      <c r="F80" s="163"/>
      <c r="G80" s="163"/>
      <c r="H80" s="163"/>
      <c r="I80" s="163"/>
      <c r="J80" s="71">
        <f>J9+J13+J17+J21+J25+J29+J33+J37+J41+J45+J49+J53+J57+J61+J65+J69+J73</f>
        <v>650149</v>
      </c>
    </row>
    <row r="81" spans="1:10" ht="15" hidden="1" customHeight="1" x14ac:dyDescent="0.25">
      <c r="A81" s="163" t="s">
        <v>19</v>
      </c>
      <c r="B81" s="163"/>
      <c r="C81" s="163"/>
      <c r="D81" s="163"/>
      <c r="E81" s="163"/>
      <c r="F81" s="163"/>
      <c r="G81" s="163"/>
      <c r="H81" s="163"/>
      <c r="I81" s="163"/>
      <c r="J81" s="71">
        <f>J10+J14+J18+J22+J26+J30+J34+J38+J42+J46+J50+J54+J58+J62+J66+J70+J74</f>
        <v>7555423</v>
      </c>
    </row>
    <row r="82" spans="1:10" ht="15" hidden="1" customHeight="1" x14ac:dyDescent="0.25">
      <c r="A82" s="163" t="s">
        <v>7</v>
      </c>
      <c r="B82" s="163"/>
      <c r="C82" s="163"/>
      <c r="D82" s="163"/>
      <c r="E82" s="163"/>
      <c r="F82" s="163"/>
      <c r="G82" s="163"/>
      <c r="H82" s="163"/>
      <c r="I82" s="163"/>
      <c r="J82" s="71">
        <f>J11+J15+J19+J23+J27+J31+J35+J39+J43+J47+J51+J55+J59+J63+J67+J71+J75</f>
        <v>104200.20000000001</v>
      </c>
    </row>
    <row r="83" spans="1:10" hidden="1" x14ac:dyDescent="0.25">
      <c r="A83" s="164" t="s">
        <v>47</v>
      </c>
      <c r="B83" s="165"/>
      <c r="C83" s="165"/>
      <c r="D83" s="165"/>
      <c r="E83" s="165"/>
      <c r="F83" s="165"/>
      <c r="G83" s="165"/>
      <c r="H83" s="165"/>
      <c r="I83" s="166"/>
      <c r="J83" s="71">
        <f>SUM(J80:J82)</f>
        <v>8309772.2000000002</v>
      </c>
    </row>
    <row r="84" spans="1:10" ht="15.75" x14ac:dyDescent="0.25">
      <c r="A84" s="90" t="s">
        <v>129</v>
      </c>
      <c r="B84" s="90"/>
      <c r="C84" s="90"/>
      <c r="D84" s="90"/>
      <c r="E84" s="90"/>
      <c r="F84" s="90"/>
      <c r="G84" s="90"/>
      <c r="H84" s="90"/>
      <c r="I84" s="90"/>
      <c r="J84" s="90"/>
    </row>
    <row r="85" spans="1:10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</row>
  </sheetData>
  <mergeCells count="82">
    <mergeCell ref="A81:I81"/>
    <mergeCell ref="A82:I82"/>
    <mergeCell ref="A83:I83"/>
    <mergeCell ref="A84:J84"/>
    <mergeCell ref="B73:I73"/>
    <mergeCell ref="B74:I74"/>
    <mergeCell ref="B75:I75"/>
    <mergeCell ref="A76:I77"/>
    <mergeCell ref="J76:J77"/>
    <mergeCell ref="A80:I80"/>
    <mergeCell ref="A72:I72"/>
    <mergeCell ref="B61:I61"/>
    <mergeCell ref="B62:I62"/>
    <mergeCell ref="B63:I63"/>
    <mergeCell ref="A64:I64"/>
    <mergeCell ref="B65:I65"/>
    <mergeCell ref="B66:I66"/>
    <mergeCell ref="B67:I67"/>
    <mergeCell ref="A68:I68"/>
    <mergeCell ref="B69:I69"/>
    <mergeCell ref="B70:I70"/>
    <mergeCell ref="B71:I71"/>
    <mergeCell ref="A60:I60"/>
    <mergeCell ref="B49:I49"/>
    <mergeCell ref="B50:I50"/>
    <mergeCell ref="B51:I51"/>
    <mergeCell ref="A52:I52"/>
    <mergeCell ref="B53:I53"/>
    <mergeCell ref="B54:I54"/>
    <mergeCell ref="B55:I55"/>
    <mergeCell ref="A56:I56"/>
    <mergeCell ref="B57:I57"/>
    <mergeCell ref="B58:I58"/>
    <mergeCell ref="B59:I59"/>
    <mergeCell ref="A48:I48"/>
    <mergeCell ref="B38:I38"/>
    <mergeCell ref="B39:I39"/>
    <mergeCell ref="A40:I40"/>
    <mergeCell ref="B41:I41"/>
    <mergeCell ref="B43:I43"/>
    <mergeCell ref="A44:I44"/>
    <mergeCell ref="B45:I45"/>
    <mergeCell ref="B46:I46"/>
    <mergeCell ref="B47:I47"/>
    <mergeCell ref="M41:M42"/>
    <mergeCell ref="B42:I42"/>
    <mergeCell ref="A32:I32"/>
    <mergeCell ref="B33:I33"/>
    <mergeCell ref="B34:I34"/>
    <mergeCell ref="B35:I35"/>
    <mergeCell ref="A36:I36"/>
    <mergeCell ref="B37:I37"/>
    <mergeCell ref="B31:I31"/>
    <mergeCell ref="A20:I20"/>
    <mergeCell ref="B21:I21"/>
    <mergeCell ref="B22:I22"/>
    <mergeCell ref="B23:I23"/>
    <mergeCell ref="A24:I24"/>
    <mergeCell ref="B25:I25"/>
    <mergeCell ref="B26:I26"/>
    <mergeCell ref="B27:I27"/>
    <mergeCell ref="A28:I28"/>
    <mergeCell ref="B29:I29"/>
    <mergeCell ref="B30:I30"/>
    <mergeCell ref="B19:I19"/>
    <mergeCell ref="A8:I8"/>
    <mergeCell ref="B9:I9"/>
    <mergeCell ref="B10:I10"/>
    <mergeCell ref="B11:I11"/>
    <mergeCell ref="A12:I12"/>
    <mergeCell ref="B13:I13"/>
    <mergeCell ref="B14:I14"/>
    <mergeCell ref="B15:I15"/>
    <mergeCell ref="A16:I16"/>
    <mergeCell ref="B17:I17"/>
    <mergeCell ref="B18:I18"/>
    <mergeCell ref="G2:J2"/>
    <mergeCell ref="D3:J3"/>
    <mergeCell ref="A4:J4"/>
    <mergeCell ref="A6:A7"/>
    <mergeCell ref="B6:I7"/>
    <mergeCell ref="J6:J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workbookViewId="0">
      <selection activeCell="T9" sqref="T9"/>
    </sheetView>
  </sheetViews>
  <sheetFormatPr defaultRowHeight="15" x14ac:dyDescent="0.25"/>
  <cols>
    <col min="1" max="1" width="4.7109375" customWidth="1"/>
    <col min="8" max="8" width="3.28515625" customWidth="1"/>
    <col min="9" max="9" width="4.28515625" customWidth="1"/>
    <col min="10" max="10" width="16.7109375" customWidth="1"/>
    <col min="13" max="13" width="9.140625" customWidth="1"/>
    <col min="14" max="14" width="0.140625" customWidth="1"/>
    <col min="15" max="15" width="9.140625" hidden="1" customWidth="1"/>
    <col min="16" max="16" width="11.42578125" hidden="1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  <c r="I1" s="25"/>
      <c r="J1" s="51" t="s">
        <v>11</v>
      </c>
    </row>
    <row r="2" spans="1:10" x14ac:dyDescent="0.25">
      <c r="A2" s="25"/>
      <c r="B2" s="25"/>
      <c r="C2" s="25"/>
      <c r="D2" s="25"/>
      <c r="E2" s="25"/>
      <c r="F2" s="25"/>
      <c r="G2" s="91" t="s">
        <v>130</v>
      </c>
      <c r="H2" s="91"/>
      <c r="I2" s="91"/>
      <c r="J2" s="91"/>
    </row>
    <row r="3" spans="1:10" x14ac:dyDescent="0.25">
      <c r="A3" s="25"/>
      <c r="B3" s="25"/>
      <c r="C3" s="25"/>
      <c r="D3" s="91" t="s">
        <v>240</v>
      </c>
      <c r="E3" s="91"/>
      <c r="F3" s="91"/>
      <c r="G3" s="91"/>
      <c r="H3" s="91"/>
      <c r="I3" s="91"/>
      <c r="J3" s="91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46.5" customHeight="1" x14ac:dyDescent="0.3">
      <c r="A5" s="92" t="s">
        <v>121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18.75" x14ac:dyDescent="0.3">
      <c r="A6" s="52"/>
      <c r="B6" s="53"/>
      <c r="C6" s="53"/>
      <c r="D6" s="53"/>
      <c r="E6" s="53"/>
      <c r="F6" s="52"/>
      <c r="G6" s="52"/>
      <c r="H6" s="52"/>
      <c r="I6" s="52"/>
      <c r="J6" s="52"/>
    </row>
    <row r="7" spans="1:10" ht="15" customHeight="1" x14ac:dyDescent="0.25">
      <c r="A7" s="94" t="s">
        <v>1</v>
      </c>
      <c r="B7" s="96" t="s">
        <v>2</v>
      </c>
      <c r="C7" s="97"/>
      <c r="D7" s="97"/>
      <c r="E7" s="97"/>
      <c r="F7" s="97"/>
      <c r="G7" s="97"/>
      <c r="H7" s="97"/>
      <c r="I7" s="98"/>
      <c r="J7" s="102" t="s">
        <v>9</v>
      </c>
    </row>
    <row r="8" spans="1:10" ht="20.25" customHeight="1" x14ac:dyDescent="0.25">
      <c r="A8" s="95"/>
      <c r="B8" s="99"/>
      <c r="C8" s="100"/>
      <c r="D8" s="100"/>
      <c r="E8" s="100"/>
      <c r="F8" s="100"/>
      <c r="G8" s="100"/>
      <c r="H8" s="100"/>
      <c r="I8" s="101"/>
      <c r="J8" s="102"/>
    </row>
    <row r="9" spans="1:10" ht="20.25" customHeight="1" x14ac:dyDescent="0.25">
      <c r="A9" s="167" t="s">
        <v>21</v>
      </c>
      <c r="B9" s="168"/>
      <c r="C9" s="168"/>
      <c r="D9" s="168"/>
      <c r="E9" s="168"/>
      <c r="F9" s="168"/>
      <c r="G9" s="168"/>
      <c r="H9" s="168"/>
      <c r="I9" s="169"/>
      <c r="J9" s="72">
        <f>SUM(J10:J12)</f>
        <v>322865.26</v>
      </c>
    </row>
    <row r="10" spans="1:10" ht="21.75" customHeight="1" x14ac:dyDescent="0.25">
      <c r="A10" s="57">
        <v>1</v>
      </c>
      <c r="B10" s="127" t="s">
        <v>20</v>
      </c>
      <c r="C10" s="128"/>
      <c r="D10" s="128"/>
      <c r="E10" s="128"/>
      <c r="F10" s="128"/>
      <c r="G10" s="128"/>
      <c r="H10" s="128"/>
      <c r="I10" s="129"/>
      <c r="J10" s="56">
        <v>25524</v>
      </c>
    </row>
    <row r="11" spans="1:10" ht="17.25" customHeight="1" x14ac:dyDescent="0.25">
      <c r="A11" s="60">
        <v>2</v>
      </c>
      <c r="B11" s="127" t="s">
        <v>19</v>
      </c>
      <c r="C11" s="128"/>
      <c r="D11" s="128"/>
      <c r="E11" s="128"/>
      <c r="F11" s="128"/>
      <c r="G11" s="128"/>
      <c r="H11" s="128"/>
      <c r="I11" s="129"/>
      <c r="J11" s="55">
        <f>107888.4+185897.96</f>
        <v>293786.36</v>
      </c>
    </row>
    <row r="12" spans="1:10" ht="16.5" customHeight="1" x14ac:dyDescent="0.25">
      <c r="A12" s="60">
        <v>3</v>
      </c>
      <c r="B12" s="127" t="s">
        <v>7</v>
      </c>
      <c r="C12" s="128"/>
      <c r="D12" s="128"/>
      <c r="E12" s="128"/>
      <c r="F12" s="128"/>
      <c r="G12" s="128"/>
      <c r="H12" s="128"/>
      <c r="I12" s="129"/>
      <c r="J12" s="55">
        <v>3554.9</v>
      </c>
    </row>
    <row r="13" spans="1:10" ht="18" customHeight="1" x14ac:dyDescent="0.25">
      <c r="A13" s="167" t="s">
        <v>23</v>
      </c>
      <c r="B13" s="168"/>
      <c r="C13" s="168"/>
      <c r="D13" s="168"/>
      <c r="E13" s="168"/>
      <c r="F13" s="168"/>
      <c r="G13" s="168"/>
      <c r="H13" s="168"/>
      <c r="I13" s="169"/>
      <c r="J13" s="67">
        <f>SUM(J14:J16)</f>
        <v>318939.12</v>
      </c>
    </row>
    <row r="14" spans="1:10" ht="19.5" customHeight="1" x14ac:dyDescent="0.25">
      <c r="A14" s="60">
        <v>1</v>
      </c>
      <c r="B14" s="127" t="s">
        <v>20</v>
      </c>
      <c r="C14" s="128"/>
      <c r="D14" s="128"/>
      <c r="E14" s="128"/>
      <c r="F14" s="128"/>
      <c r="G14" s="128"/>
      <c r="H14" s="128"/>
      <c r="I14" s="129"/>
      <c r="J14" s="56">
        <v>24592</v>
      </c>
    </row>
    <row r="15" spans="1:10" ht="18.75" customHeight="1" x14ac:dyDescent="0.25">
      <c r="A15" s="60">
        <v>2</v>
      </c>
      <c r="B15" s="127" t="s">
        <v>19</v>
      </c>
      <c r="C15" s="128"/>
      <c r="D15" s="128"/>
      <c r="E15" s="128"/>
      <c r="F15" s="128"/>
      <c r="G15" s="128"/>
      <c r="H15" s="128"/>
      <c r="I15" s="129"/>
      <c r="J15" s="55">
        <f>102250.44+188570.88</f>
        <v>290821.32</v>
      </c>
    </row>
    <row r="16" spans="1:10" ht="20.25" customHeight="1" x14ac:dyDescent="0.25">
      <c r="A16" s="60">
        <v>3</v>
      </c>
      <c r="B16" s="127" t="s">
        <v>7</v>
      </c>
      <c r="C16" s="128"/>
      <c r="D16" s="128"/>
      <c r="E16" s="128"/>
      <c r="F16" s="128"/>
      <c r="G16" s="128"/>
      <c r="H16" s="128"/>
      <c r="I16" s="129"/>
      <c r="J16" s="56">
        <v>3525.8</v>
      </c>
    </row>
    <row r="17" spans="1:10" ht="19.5" customHeight="1" x14ac:dyDescent="0.25">
      <c r="A17" s="167" t="s">
        <v>22</v>
      </c>
      <c r="B17" s="168"/>
      <c r="C17" s="168"/>
      <c r="D17" s="168"/>
      <c r="E17" s="168"/>
      <c r="F17" s="168"/>
      <c r="G17" s="168"/>
      <c r="H17" s="168"/>
      <c r="I17" s="169"/>
      <c r="J17" s="67">
        <f>SUM(J18:J20)</f>
        <v>182727.65</v>
      </c>
    </row>
    <row r="18" spans="1:10" ht="21" customHeight="1" x14ac:dyDescent="0.25">
      <c r="A18" s="60">
        <v>1</v>
      </c>
      <c r="B18" s="127" t="s">
        <v>20</v>
      </c>
      <c r="C18" s="128"/>
      <c r="D18" s="128"/>
      <c r="E18" s="128"/>
      <c r="F18" s="128"/>
      <c r="G18" s="128"/>
      <c r="H18" s="128"/>
      <c r="I18" s="129"/>
      <c r="J18" s="56">
        <v>14655</v>
      </c>
    </row>
    <row r="19" spans="1:10" ht="16.5" customHeight="1" x14ac:dyDescent="0.25">
      <c r="A19" s="60">
        <v>2</v>
      </c>
      <c r="B19" s="127" t="s">
        <v>19</v>
      </c>
      <c r="C19" s="128"/>
      <c r="D19" s="128"/>
      <c r="E19" s="128"/>
      <c r="F19" s="128"/>
      <c r="G19" s="128"/>
      <c r="H19" s="128"/>
      <c r="I19" s="129"/>
      <c r="J19" s="56">
        <v>165753</v>
      </c>
    </row>
    <row r="20" spans="1:10" ht="18" customHeight="1" x14ac:dyDescent="0.25">
      <c r="A20" s="60">
        <v>3</v>
      </c>
      <c r="B20" s="127" t="s">
        <v>7</v>
      </c>
      <c r="C20" s="128"/>
      <c r="D20" s="128"/>
      <c r="E20" s="128"/>
      <c r="F20" s="128"/>
      <c r="G20" s="128"/>
      <c r="H20" s="128"/>
      <c r="I20" s="129"/>
      <c r="J20" s="55">
        <v>2319.65</v>
      </c>
    </row>
    <row r="21" spans="1:10" ht="21" customHeight="1" x14ac:dyDescent="0.25">
      <c r="A21" s="167" t="s">
        <v>24</v>
      </c>
      <c r="B21" s="168"/>
      <c r="C21" s="168"/>
      <c r="D21" s="168"/>
      <c r="E21" s="168"/>
      <c r="F21" s="168"/>
      <c r="G21" s="168"/>
      <c r="H21" s="168"/>
      <c r="I21" s="169"/>
      <c r="J21" s="67">
        <f>SUM(J22:J24)</f>
        <v>180326.65</v>
      </c>
    </row>
    <row r="22" spans="1:10" ht="18" customHeight="1" x14ac:dyDescent="0.25">
      <c r="A22" s="60">
        <v>1</v>
      </c>
      <c r="B22" s="127" t="s">
        <v>20</v>
      </c>
      <c r="C22" s="128"/>
      <c r="D22" s="128"/>
      <c r="E22" s="128"/>
      <c r="F22" s="128"/>
      <c r="G22" s="128"/>
      <c r="H22" s="128"/>
      <c r="I22" s="129"/>
      <c r="J22" s="56">
        <v>12254</v>
      </c>
    </row>
    <row r="23" spans="1:10" ht="17.25" customHeight="1" x14ac:dyDescent="0.25">
      <c r="A23" s="60">
        <v>2</v>
      </c>
      <c r="B23" s="127" t="s">
        <v>19</v>
      </c>
      <c r="C23" s="128"/>
      <c r="D23" s="128"/>
      <c r="E23" s="128"/>
      <c r="F23" s="128"/>
      <c r="G23" s="128"/>
      <c r="H23" s="128"/>
      <c r="I23" s="129"/>
      <c r="J23" s="56">
        <v>165753</v>
      </c>
    </row>
    <row r="24" spans="1:10" ht="15" customHeight="1" x14ac:dyDescent="0.25">
      <c r="A24" s="60">
        <v>3</v>
      </c>
      <c r="B24" s="127" t="s">
        <v>7</v>
      </c>
      <c r="C24" s="128"/>
      <c r="D24" s="128"/>
      <c r="E24" s="128"/>
      <c r="F24" s="128"/>
      <c r="G24" s="128"/>
      <c r="H24" s="128"/>
      <c r="I24" s="129"/>
      <c r="J24" s="55">
        <v>2319.65</v>
      </c>
    </row>
    <row r="25" spans="1:10" ht="20.25" customHeight="1" x14ac:dyDescent="0.25">
      <c r="A25" s="167" t="s">
        <v>25</v>
      </c>
      <c r="B25" s="168"/>
      <c r="C25" s="168"/>
      <c r="D25" s="168"/>
      <c r="E25" s="168"/>
      <c r="F25" s="168"/>
      <c r="G25" s="168"/>
      <c r="H25" s="168"/>
      <c r="I25" s="169"/>
      <c r="J25" s="67">
        <f>SUM(J26:J28)</f>
        <v>166385.4</v>
      </c>
    </row>
    <row r="26" spans="1:10" ht="21" customHeight="1" x14ac:dyDescent="0.25">
      <c r="A26" s="60">
        <v>1</v>
      </c>
      <c r="B26" s="127" t="s">
        <v>20</v>
      </c>
      <c r="C26" s="128"/>
      <c r="D26" s="128"/>
      <c r="E26" s="128"/>
      <c r="F26" s="128"/>
      <c r="G26" s="128"/>
      <c r="H26" s="128"/>
      <c r="I26" s="129"/>
      <c r="J26" s="56">
        <v>15362</v>
      </c>
    </row>
    <row r="27" spans="1:10" ht="19.5" customHeight="1" x14ac:dyDescent="0.25">
      <c r="A27" s="60">
        <v>2</v>
      </c>
      <c r="B27" s="127" t="s">
        <v>19</v>
      </c>
      <c r="C27" s="128"/>
      <c r="D27" s="128"/>
      <c r="E27" s="128"/>
      <c r="F27" s="128"/>
      <c r="G27" s="128"/>
      <c r="H27" s="128"/>
      <c r="I27" s="129"/>
      <c r="J27" s="56">
        <v>148933</v>
      </c>
    </row>
    <row r="28" spans="1:10" ht="21" customHeight="1" x14ac:dyDescent="0.25">
      <c r="A28" s="60">
        <v>3</v>
      </c>
      <c r="B28" s="127" t="s">
        <v>7</v>
      </c>
      <c r="C28" s="128"/>
      <c r="D28" s="128"/>
      <c r="E28" s="128"/>
      <c r="F28" s="128"/>
      <c r="G28" s="128"/>
      <c r="H28" s="128"/>
      <c r="I28" s="129"/>
      <c r="J28" s="56">
        <v>2090.4</v>
      </c>
    </row>
    <row r="29" spans="1:10" ht="17.25" customHeight="1" x14ac:dyDescent="0.25">
      <c r="A29" s="167" t="s">
        <v>26</v>
      </c>
      <c r="B29" s="168"/>
      <c r="C29" s="168"/>
      <c r="D29" s="168"/>
      <c r="E29" s="168"/>
      <c r="F29" s="168"/>
      <c r="G29" s="168"/>
      <c r="H29" s="168"/>
      <c r="I29" s="169"/>
      <c r="J29" s="67">
        <f>SUM(J30:J32)</f>
        <v>169935.05</v>
      </c>
    </row>
    <row r="30" spans="1:10" ht="20.25" customHeight="1" x14ac:dyDescent="0.25">
      <c r="A30" s="60">
        <v>1</v>
      </c>
      <c r="B30" s="127" t="s">
        <v>20</v>
      </c>
      <c r="C30" s="128"/>
      <c r="D30" s="128"/>
      <c r="E30" s="128"/>
      <c r="F30" s="128"/>
      <c r="G30" s="128"/>
      <c r="H30" s="128"/>
      <c r="I30" s="129"/>
      <c r="J30" s="56">
        <v>15470</v>
      </c>
    </row>
    <row r="31" spans="1:10" ht="20.25" customHeight="1" x14ac:dyDescent="0.25">
      <c r="A31" s="60">
        <v>2</v>
      </c>
      <c r="B31" s="127" t="s">
        <v>19</v>
      </c>
      <c r="C31" s="128"/>
      <c r="D31" s="128"/>
      <c r="E31" s="128"/>
      <c r="F31" s="128"/>
      <c r="G31" s="128"/>
      <c r="H31" s="128"/>
      <c r="I31" s="129"/>
      <c r="J31" s="56">
        <v>152327</v>
      </c>
    </row>
    <row r="32" spans="1:10" ht="19.5" customHeight="1" x14ac:dyDescent="0.25">
      <c r="A32" s="60">
        <v>3</v>
      </c>
      <c r="B32" s="127" t="s">
        <v>7</v>
      </c>
      <c r="C32" s="128"/>
      <c r="D32" s="128"/>
      <c r="E32" s="128"/>
      <c r="F32" s="128"/>
      <c r="G32" s="128"/>
      <c r="H32" s="128"/>
      <c r="I32" s="129"/>
      <c r="J32" s="55">
        <v>2138.0500000000002</v>
      </c>
    </row>
    <row r="33" spans="1:10" ht="25.5" customHeight="1" x14ac:dyDescent="0.25">
      <c r="A33" s="167" t="s">
        <v>27</v>
      </c>
      <c r="B33" s="168"/>
      <c r="C33" s="168"/>
      <c r="D33" s="168"/>
      <c r="E33" s="168"/>
      <c r="F33" s="168"/>
      <c r="G33" s="168"/>
      <c r="H33" s="168"/>
      <c r="I33" s="169"/>
      <c r="J33" s="69">
        <f>SUM(J34:J36)</f>
        <v>262501.68</v>
      </c>
    </row>
    <row r="34" spans="1:10" ht="25.5" customHeight="1" x14ac:dyDescent="0.25">
      <c r="A34" s="60">
        <v>1</v>
      </c>
      <c r="B34" s="109" t="s">
        <v>20</v>
      </c>
      <c r="C34" s="110"/>
      <c r="D34" s="110"/>
      <c r="E34" s="110"/>
      <c r="F34" s="110"/>
      <c r="G34" s="110"/>
      <c r="H34" s="110"/>
      <c r="I34" s="111"/>
      <c r="J34" s="56">
        <v>18924</v>
      </c>
    </row>
    <row r="35" spans="1:10" ht="25.5" customHeight="1" x14ac:dyDescent="0.25">
      <c r="A35" s="60">
        <v>2</v>
      </c>
      <c r="B35" s="109" t="s">
        <v>19</v>
      </c>
      <c r="C35" s="110"/>
      <c r="D35" s="110"/>
      <c r="E35" s="110"/>
      <c r="F35" s="110"/>
      <c r="G35" s="110"/>
      <c r="H35" s="110"/>
      <c r="I35" s="111"/>
      <c r="J35" s="56">
        <v>240660</v>
      </c>
    </row>
    <row r="36" spans="1:10" ht="25.5" customHeight="1" x14ac:dyDescent="0.25">
      <c r="A36" s="60">
        <v>3</v>
      </c>
      <c r="B36" s="109" t="s">
        <v>7</v>
      </c>
      <c r="C36" s="110"/>
      <c r="D36" s="110"/>
      <c r="E36" s="110"/>
      <c r="F36" s="110"/>
      <c r="G36" s="110"/>
      <c r="H36" s="110"/>
      <c r="I36" s="111"/>
      <c r="J36" s="55">
        <v>2917.68</v>
      </c>
    </row>
    <row r="37" spans="1:10" ht="25.5" customHeight="1" x14ac:dyDescent="0.25">
      <c r="A37" s="159" t="s">
        <v>28</v>
      </c>
      <c r="B37" s="160"/>
      <c r="C37" s="160"/>
      <c r="D37" s="160"/>
      <c r="E37" s="160"/>
      <c r="F37" s="160"/>
      <c r="G37" s="160"/>
      <c r="H37" s="160"/>
      <c r="I37" s="161"/>
      <c r="J37" s="69">
        <f>SUM(J38:J40)</f>
        <v>224770.15000000002</v>
      </c>
    </row>
    <row r="38" spans="1:10" ht="25.5" customHeight="1" x14ac:dyDescent="0.25">
      <c r="A38" s="60">
        <v>1</v>
      </c>
      <c r="B38" s="109" t="s">
        <v>20</v>
      </c>
      <c r="C38" s="110"/>
      <c r="D38" s="110"/>
      <c r="E38" s="110"/>
      <c r="F38" s="110"/>
      <c r="G38" s="110"/>
      <c r="H38" s="110"/>
      <c r="I38" s="111"/>
      <c r="J38" s="73">
        <v>18924</v>
      </c>
    </row>
    <row r="39" spans="1:10" ht="25.5" customHeight="1" x14ac:dyDescent="0.25">
      <c r="A39" s="60">
        <v>2</v>
      </c>
      <c r="B39" s="109" t="s">
        <v>19</v>
      </c>
      <c r="C39" s="110"/>
      <c r="D39" s="110"/>
      <c r="E39" s="110"/>
      <c r="F39" s="110"/>
      <c r="G39" s="110"/>
      <c r="H39" s="110"/>
      <c r="I39" s="111"/>
      <c r="J39" s="74">
        <f>211050-7690.8</f>
        <v>203359.2</v>
      </c>
    </row>
    <row r="40" spans="1:10" ht="25.5" customHeight="1" x14ac:dyDescent="0.25">
      <c r="A40" s="60">
        <v>3</v>
      </c>
      <c r="B40" s="109" t="s">
        <v>7</v>
      </c>
      <c r="C40" s="110"/>
      <c r="D40" s="110"/>
      <c r="E40" s="110"/>
      <c r="F40" s="110"/>
      <c r="G40" s="110"/>
      <c r="H40" s="110"/>
      <c r="I40" s="111"/>
      <c r="J40" s="74">
        <f>3078-591.05</f>
        <v>2486.9499999999998</v>
      </c>
    </row>
    <row r="41" spans="1:10" ht="25.5" customHeight="1" x14ac:dyDescent="0.25">
      <c r="A41" s="159" t="s">
        <v>29</v>
      </c>
      <c r="B41" s="160"/>
      <c r="C41" s="160"/>
      <c r="D41" s="160"/>
      <c r="E41" s="160"/>
      <c r="F41" s="160"/>
      <c r="G41" s="160"/>
      <c r="H41" s="160"/>
      <c r="I41" s="161"/>
      <c r="J41" s="69">
        <f>SUM(J42:J44)</f>
        <v>347276.07</v>
      </c>
    </row>
    <row r="42" spans="1:10" ht="25.5" customHeight="1" x14ac:dyDescent="0.25">
      <c r="A42" s="60">
        <v>1</v>
      </c>
      <c r="B42" s="109" t="s">
        <v>20</v>
      </c>
      <c r="C42" s="110"/>
      <c r="D42" s="110"/>
      <c r="E42" s="110"/>
      <c r="F42" s="110"/>
      <c r="G42" s="110"/>
      <c r="H42" s="110"/>
      <c r="I42" s="111"/>
      <c r="J42" s="73">
        <v>15692</v>
      </c>
    </row>
    <row r="43" spans="1:10" ht="25.5" customHeight="1" x14ac:dyDescent="0.25">
      <c r="A43" s="60">
        <v>2</v>
      </c>
      <c r="B43" s="109" t="s">
        <v>19</v>
      </c>
      <c r="C43" s="110"/>
      <c r="D43" s="110"/>
      <c r="E43" s="110"/>
      <c r="F43" s="110"/>
      <c r="G43" s="110"/>
      <c r="H43" s="110"/>
      <c r="I43" s="111"/>
      <c r="J43" s="74">
        <f>354748-27742</f>
        <v>327006</v>
      </c>
    </row>
    <row r="44" spans="1:10" ht="25.5" customHeight="1" x14ac:dyDescent="0.25">
      <c r="A44" s="60">
        <v>3</v>
      </c>
      <c r="B44" s="109" t="s">
        <v>7</v>
      </c>
      <c r="C44" s="110"/>
      <c r="D44" s="110"/>
      <c r="E44" s="110"/>
      <c r="F44" s="110"/>
      <c r="G44" s="110"/>
      <c r="H44" s="110"/>
      <c r="I44" s="111"/>
      <c r="J44" s="74">
        <f>5148-569.93</f>
        <v>4578.07</v>
      </c>
    </row>
    <row r="45" spans="1:10" ht="25.5" customHeight="1" x14ac:dyDescent="0.25">
      <c r="A45" s="159" t="s">
        <v>30</v>
      </c>
      <c r="B45" s="160"/>
      <c r="C45" s="160"/>
      <c r="D45" s="160"/>
      <c r="E45" s="160"/>
      <c r="F45" s="160"/>
      <c r="G45" s="160"/>
      <c r="H45" s="160"/>
      <c r="I45" s="161"/>
      <c r="J45" s="69">
        <f>SUM(J46:J48)</f>
        <v>351342.34</v>
      </c>
    </row>
    <row r="46" spans="1:10" ht="25.5" customHeight="1" x14ac:dyDescent="0.25">
      <c r="A46" s="60">
        <v>1</v>
      </c>
      <c r="B46" s="109" t="s">
        <v>20</v>
      </c>
      <c r="C46" s="110"/>
      <c r="D46" s="110"/>
      <c r="E46" s="110"/>
      <c r="F46" s="110"/>
      <c r="G46" s="110"/>
      <c r="H46" s="110"/>
      <c r="I46" s="111"/>
      <c r="J46" s="73">
        <v>15692</v>
      </c>
    </row>
    <row r="47" spans="1:10" ht="25.5" customHeight="1" x14ac:dyDescent="0.25">
      <c r="A47" s="60">
        <v>2</v>
      </c>
      <c r="B47" s="109" t="s">
        <v>19</v>
      </c>
      <c r="C47" s="110"/>
      <c r="D47" s="110"/>
      <c r="E47" s="110"/>
      <c r="F47" s="110"/>
      <c r="G47" s="110"/>
      <c r="H47" s="110"/>
      <c r="I47" s="111"/>
      <c r="J47" s="75">
        <f>353999-22976</f>
        <v>331023</v>
      </c>
    </row>
    <row r="48" spans="1:10" ht="25.5" customHeight="1" x14ac:dyDescent="0.25">
      <c r="A48" s="60">
        <v>3</v>
      </c>
      <c r="B48" s="109" t="s">
        <v>7</v>
      </c>
      <c r="C48" s="110"/>
      <c r="D48" s="110"/>
      <c r="E48" s="110"/>
      <c r="F48" s="110"/>
      <c r="G48" s="110"/>
      <c r="H48" s="110"/>
      <c r="I48" s="111"/>
      <c r="J48" s="75">
        <f>5140-513+0.34</f>
        <v>4627.34</v>
      </c>
    </row>
    <row r="49" spans="1:10" ht="25.5" customHeight="1" x14ac:dyDescent="0.25">
      <c r="A49" s="159" t="s">
        <v>31</v>
      </c>
      <c r="B49" s="160"/>
      <c r="C49" s="160"/>
      <c r="D49" s="160"/>
      <c r="E49" s="160"/>
      <c r="F49" s="160"/>
      <c r="G49" s="160"/>
      <c r="H49" s="160"/>
      <c r="I49" s="161"/>
      <c r="J49" s="69">
        <f>SUM(J50:J52)</f>
        <v>221130.3</v>
      </c>
    </row>
    <row r="50" spans="1:10" ht="25.5" customHeight="1" x14ac:dyDescent="0.25">
      <c r="A50" s="60">
        <v>1</v>
      </c>
      <c r="B50" s="109" t="s">
        <v>20</v>
      </c>
      <c r="C50" s="110"/>
      <c r="D50" s="110"/>
      <c r="E50" s="110"/>
      <c r="F50" s="110"/>
      <c r="G50" s="110"/>
      <c r="H50" s="110"/>
      <c r="I50" s="111"/>
      <c r="J50" s="73">
        <v>13470</v>
      </c>
    </row>
    <row r="51" spans="1:10" ht="25.5" customHeight="1" x14ac:dyDescent="0.25">
      <c r="A51" s="60">
        <v>2</v>
      </c>
      <c r="B51" s="109" t="s">
        <v>19</v>
      </c>
      <c r="C51" s="110"/>
      <c r="D51" s="110"/>
      <c r="E51" s="110"/>
      <c r="F51" s="110"/>
      <c r="G51" s="110"/>
      <c r="H51" s="110"/>
      <c r="I51" s="111"/>
      <c r="J51" s="74">
        <v>204816</v>
      </c>
    </row>
    <row r="52" spans="1:10" ht="25.5" customHeight="1" x14ac:dyDescent="0.25">
      <c r="A52" s="60">
        <v>3</v>
      </c>
      <c r="B52" s="109" t="s">
        <v>7</v>
      </c>
      <c r="C52" s="110"/>
      <c r="D52" s="110"/>
      <c r="E52" s="110"/>
      <c r="F52" s="110"/>
      <c r="G52" s="110"/>
      <c r="H52" s="110"/>
      <c r="I52" s="111"/>
      <c r="J52" s="76">
        <f>959.36+1429.65+455.29</f>
        <v>2844.3</v>
      </c>
    </row>
    <row r="53" spans="1:10" ht="25.5" customHeight="1" x14ac:dyDescent="0.25">
      <c r="A53" s="159" t="s">
        <v>32</v>
      </c>
      <c r="B53" s="160"/>
      <c r="C53" s="160"/>
      <c r="D53" s="160"/>
      <c r="E53" s="160"/>
      <c r="F53" s="160"/>
      <c r="G53" s="160"/>
      <c r="H53" s="160"/>
      <c r="I53" s="161"/>
      <c r="J53" s="69">
        <f>SUM(J54:J56)</f>
        <v>292814.65999999997</v>
      </c>
    </row>
    <row r="54" spans="1:10" ht="25.5" customHeight="1" x14ac:dyDescent="0.25">
      <c r="A54" s="60">
        <v>1</v>
      </c>
      <c r="B54" s="109" t="s">
        <v>20</v>
      </c>
      <c r="C54" s="110"/>
      <c r="D54" s="110"/>
      <c r="E54" s="110"/>
      <c r="F54" s="110"/>
      <c r="G54" s="110"/>
      <c r="H54" s="110"/>
      <c r="I54" s="111"/>
      <c r="J54" s="73">
        <v>14120</v>
      </c>
    </row>
    <row r="55" spans="1:10" ht="25.5" customHeight="1" x14ac:dyDescent="0.25">
      <c r="A55" s="60">
        <v>2</v>
      </c>
      <c r="B55" s="109" t="s">
        <v>19</v>
      </c>
      <c r="C55" s="110"/>
      <c r="D55" s="110"/>
      <c r="E55" s="110"/>
      <c r="F55" s="110"/>
      <c r="G55" s="110"/>
      <c r="H55" s="110"/>
      <c r="I55" s="111"/>
      <c r="J55" s="74">
        <f>274890-26929+26928</f>
        <v>274889</v>
      </c>
    </row>
    <row r="56" spans="1:10" ht="25.5" customHeight="1" x14ac:dyDescent="0.25">
      <c r="A56" s="60">
        <v>3</v>
      </c>
      <c r="B56" s="109" t="s">
        <v>7</v>
      </c>
      <c r="C56" s="110"/>
      <c r="D56" s="110"/>
      <c r="E56" s="110"/>
      <c r="F56" s="110"/>
      <c r="G56" s="110"/>
      <c r="H56" s="110"/>
      <c r="I56" s="111"/>
      <c r="J56" s="76">
        <f>3422.66+383</f>
        <v>3805.66</v>
      </c>
    </row>
    <row r="57" spans="1:10" ht="25.5" customHeight="1" x14ac:dyDescent="0.25">
      <c r="A57" s="159" t="s">
        <v>33</v>
      </c>
      <c r="B57" s="160"/>
      <c r="C57" s="160"/>
      <c r="D57" s="160"/>
      <c r="E57" s="160"/>
      <c r="F57" s="160"/>
      <c r="G57" s="160"/>
      <c r="H57" s="160"/>
      <c r="I57" s="161"/>
      <c r="J57" s="69">
        <f>SUM(J58:J60)</f>
        <v>118902.45</v>
      </c>
    </row>
    <row r="58" spans="1:10" ht="25.5" customHeight="1" x14ac:dyDescent="0.25">
      <c r="A58" s="60">
        <v>1</v>
      </c>
      <c r="B58" s="109" t="s">
        <v>20</v>
      </c>
      <c r="C58" s="110"/>
      <c r="D58" s="110"/>
      <c r="E58" s="110"/>
      <c r="F58" s="110"/>
      <c r="G58" s="110"/>
      <c r="H58" s="110"/>
      <c r="I58" s="111"/>
      <c r="J58" s="73">
        <v>8140</v>
      </c>
    </row>
    <row r="59" spans="1:10" ht="25.5" customHeight="1" x14ac:dyDescent="0.25">
      <c r="A59" s="60">
        <v>2</v>
      </c>
      <c r="B59" s="109" t="s">
        <v>19</v>
      </c>
      <c r="C59" s="110"/>
      <c r="D59" s="110"/>
      <c r="E59" s="110"/>
      <c r="F59" s="110"/>
      <c r="G59" s="110"/>
      <c r="H59" s="110"/>
      <c r="I59" s="111"/>
      <c r="J59" s="74">
        <f>131047-21810</f>
        <v>109237</v>
      </c>
    </row>
    <row r="60" spans="1:10" ht="25.5" customHeight="1" x14ac:dyDescent="0.25">
      <c r="A60" s="60">
        <v>3</v>
      </c>
      <c r="B60" s="109" t="s">
        <v>7</v>
      </c>
      <c r="C60" s="110"/>
      <c r="D60" s="110"/>
      <c r="E60" s="110"/>
      <c r="F60" s="110"/>
      <c r="G60" s="110"/>
      <c r="H60" s="110"/>
      <c r="I60" s="111"/>
      <c r="J60" s="74">
        <f>1890-364.55</f>
        <v>1525.45</v>
      </c>
    </row>
    <row r="61" spans="1:10" ht="25.5" customHeight="1" x14ac:dyDescent="0.25">
      <c r="A61" s="159" t="s">
        <v>34</v>
      </c>
      <c r="B61" s="160"/>
      <c r="C61" s="160"/>
      <c r="D61" s="160"/>
      <c r="E61" s="160"/>
      <c r="F61" s="160"/>
      <c r="G61" s="160"/>
      <c r="H61" s="160"/>
      <c r="I61" s="161"/>
      <c r="J61" s="69">
        <f>SUM(J62:J64)</f>
        <v>311652.14999999997</v>
      </c>
    </row>
    <row r="62" spans="1:10" ht="25.5" customHeight="1" x14ac:dyDescent="0.25">
      <c r="A62" s="60">
        <v>1</v>
      </c>
      <c r="B62" s="109" t="s">
        <v>20</v>
      </c>
      <c r="C62" s="110"/>
      <c r="D62" s="110"/>
      <c r="E62" s="110"/>
      <c r="F62" s="110"/>
      <c r="G62" s="110"/>
      <c r="H62" s="110"/>
      <c r="I62" s="111"/>
      <c r="J62" s="73">
        <v>14706</v>
      </c>
    </row>
    <row r="63" spans="1:10" ht="25.5" customHeight="1" x14ac:dyDescent="0.25">
      <c r="A63" s="60">
        <v>2</v>
      </c>
      <c r="B63" s="109" t="s">
        <v>19</v>
      </c>
      <c r="C63" s="110"/>
      <c r="D63" s="110"/>
      <c r="E63" s="110"/>
      <c r="F63" s="110"/>
      <c r="G63" s="110"/>
      <c r="H63" s="110"/>
      <c r="I63" s="111"/>
      <c r="J63" s="75">
        <f>304570-11184.4</f>
        <v>293385.59999999998</v>
      </c>
    </row>
    <row r="64" spans="1:10" ht="25.5" customHeight="1" x14ac:dyDescent="0.25">
      <c r="A64" s="60">
        <v>3</v>
      </c>
      <c r="B64" s="109" t="s">
        <v>7</v>
      </c>
      <c r="C64" s="110"/>
      <c r="D64" s="110"/>
      <c r="E64" s="110"/>
      <c r="F64" s="110"/>
      <c r="G64" s="110"/>
      <c r="H64" s="110"/>
      <c r="I64" s="111"/>
      <c r="J64" s="75">
        <f>4400-839.45</f>
        <v>3560.55</v>
      </c>
    </row>
    <row r="65" spans="1:10" ht="25.5" customHeight="1" x14ac:dyDescent="0.25">
      <c r="A65" s="159" t="s">
        <v>35</v>
      </c>
      <c r="B65" s="160"/>
      <c r="C65" s="160"/>
      <c r="D65" s="160"/>
      <c r="E65" s="160"/>
      <c r="F65" s="160"/>
      <c r="G65" s="160"/>
      <c r="H65" s="160"/>
      <c r="I65" s="161"/>
      <c r="J65" s="77">
        <f>SUM(J66:J68)</f>
        <v>176673.07</v>
      </c>
    </row>
    <row r="66" spans="1:10" ht="25.5" customHeight="1" x14ac:dyDescent="0.25">
      <c r="A66" s="60">
        <v>1</v>
      </c>
      <c r="B66" s="109" t="s">
        <v>20</v>
      </c>
      <c r="C66" s="110"/>
      <c r="D66" s="110"/>
      <c r="E66" s="110"/>
      <c r="F66" s="110"/>
      <c r="G66" s="110"/>
      <c r="H66" s="110"/>
      <c r="I66" s="111"/>
      <c r="J66" s="73">
        <v>14562</v>
      </c>
    </row>
    <row r="67" spans="1:10" ht="25.5" customHeight="1" x14ac:dyDescent="0.25">
      <c r="A67" s="60">
        <v>2</v>
      </c>
      <c r="B67" s="109" t="s">
        <v>19</v>
      </c>
      <c r="C67" s="110"/>
      <c r="D67" s="110"/>
      <c r="E67" s="110"/>
      <c r="F67" s="110"/>
      <c r="G67" s="110"/>
      <c r="H67" s="110"/>
      <c r="I67" s="111"/>
      <c r="J67" s="75">
        <f>188200-28332</f>
        <v>159868</v>
      </c>
    </row>
    <row r="68" spans="1:10" ht="25.5" customHeight="1" x14ac:dyDescent="0.25">
      <c r="A68" s="60">
        <v>3</v>
      </c>
      <c r="B68" s="109" t="s">
        <v>7</v>
      </c>
      <c r="C68" s="110"/>
      <c r="D68" s="110"/>
      <c r="E68" s="110"/>
      <c r="F68" s="110"/>
      <c r="G68" s="110"/>
      <c r="H68" s="110"/>
      <c r="I68" s="111"/>
      <c r="J68" s="75">
        <f>2661-0.34-417.59</f>
        <v>2243.0699999999997</v>
      </c>
    </row>
    <row r="69" spans="1:10" ht="25.5" customHeight="1" x14ac:dyDescent="0.25">
      <c r="A69" s="159" t="s">
        <v>36</v>
      </c>
      <c r="B69" s="160"/>
      <c r="C69" s="160"/>
      <c r="D69" s="160"/>
      <c r="E69" s="160"/>
      <c r="F69" s="160"/>
      <c r="G69" s="160"/>
      <c r="H69" s="160"/>
      <c r="I69" s="161"/>
      <c r="J69" s="77">
        <f>SUM(J70:J72)</f>
        <v>325976.15000000002</v>
      </c>
    </row>
    <row r="70" spans="1:10" ht="25.5" customHeight="1" x14ac:dyDescent="0.25">
      <c r="A70" s="60">
        <v>1</v>
      </c>
      <c r="B70" s="109" t="s">
        <v>20</v>
      </c>
      <c r="C70" s="110"/>
      <c r="D70" s="110"/>
      <c r="E70" s="110"/>
      <c r="F70" s="110"/>
      <c r="G70" s="110"/>
      <c r="H70" s="110"/>
      <c r="I70" s="111"/>
      <c r="J70" s="73">
        <v>14413</v>
      </c>
    </row>
    <row r="71" spans="1:10" ht="25.5" customHeight="1" x14ac:dyDescent="0.25">
      <c r="A71" s="60">
        <v>2</v>
      </c>
      <c r="B71" s="109" t="s">
        <v>19</v>
      </c>
      <c r="C71" s="110"/>
      <c r="D71" s="110"/>
      <c r="E71" s="110"/>
      <c r="F71" s="110"/>
      <c r="G71" s="110"/>
      <c r="H71" s="110"/>
      <c r="I71" s="111"/>
      <c r="J71" s="75">
        <f>359248-51992</f>
        <v>307256</v>
      </c>
    </row>
    <row r="72" spans="1:10" ht="25.5" customHeight="1" x14ac:dyDescent="0.25">
      <c r="A72" s="60">
        <v>3</v>
      </c>
      <c r="B72" s="109" t="s">
        <v>7</v>
      </c>
      <c r="C72" s="110"/>
      <c r="D72" s="110"/>
      <c r="E72" s="110"/>
      <c r="F72" s="110"/>
      <c r="G72" s="110"/>
      <c r="H72" s="110"/>
      <c r="I72" s="111"/>
      <c r="J72" s="75">
        <f>5189-881.85</f>
        <v>4307.1499999999996</v>
      </c>
    </row>
    <row r="73" spans="1:10" ht="25.5" customHeight="1" x14ac:dyDescent="0.25">
      <c r="A73" s="159" t="s">
        <v>37</v>
      </c>
      <c r="B73" s="160"/>
      <c r="C73" s="160"/>
      <c r="D73" s="160"/>
      <c r="E73" s="160"/>
      <c r="F73" s="160"/>
      <c r="G73" s="160"/>
      <c r="H73" s="160"/>
      <c r="I73" s="161"/>
      <c r="J73" s="77">
        <f>SUM(J74:J76)</f>
        <v>284083.75</v>
      </c>
    </row>
    <row r="74" spans="1:10" ht="25.5" customHeight="1" x14ac:dyDescent="0.25">
      <c r="A74" s="60">
        <v>1</v>
      </c>
      <c r="B74" s="109" t="s">
        <v>20</v>
      </c>
      <c r="C74" s="110"/>
      <c r="D74" s="110"/>
      <c r="E74" s="110"/>
      <c r="F74" s="110"/>
      <c r="G74" s="110"/>
      <c r="H74" s="110"/>
      <c r="I74" s="111"/>
      <c r="J74" s="73">
        <v>15008</v>
      </c>
    </row>
    <row r="75" spans="1:10" ht="25.5" customHeight="1" x14ac:dyDescent="0.25">
      <c r="A75" s="60">
        <v>2</v>
      </c>
      <c r="B75" s="109" t="s">
        <v>19</v>
      </c>
      <c r="C75" s="110"/>
      <c r="D75" s="110"/>
      <c r="E75" s="110"/>
      <c r="F75" s="110"/>
      <c r="G75" s="110"/>
      <c r="H75" s="110"/>
      <c r="I75" s="111"/>
      <c r="J75" s="75">
        <f>275260-9440.8</f>
        <v>265819.2</v>
      </c>
    </row>
    <row r="76" spans="1:10" ht="25.5" customHeight="1" x14ac:dyDescent="0.25">
      <c r="A76" s="60">
        <v>3</v>
      </c>
      <c r="B76" s="109" t="s">
        <v>7</v>
      </c>
      <c r="C76" s="110"/>
      <c r="D76" s="110"/>
      <c r="E76" s="110"/>
      <c r="F76" s="110"/>
      <c r="G76" s="110"/>
      <c r="H76" s="110"/>
      <c r="I76" s="111"/>
      <c r="J76" s="75">
        <f>3991-734.45</f>
        <v>3256.55</v>
      </c>
    </row>
    <row r="77" spans="1:10" ht="25.5" customHeight="1" x14ac:dyDescent="0.25">
      <c r="A77" s="159" t="s">
        <v>38</v>
      </c>
      <c r="B77" s="160"/>
      <c r="C77" s="160"/>
      <c r="D77" s="160"/>
      <c r="E77" s="160"/>
      <c r="F77" s="160"/>
      <c r="G77" s="160"/>
      <c r="H77" s="160"/>
      <c r="I77" s="161"/>
      <c r="J77" s="77">
        <f>SUM(J78:J80)</f>
        <v>391967.74</v>
      </c>
    </row>
    <row r="78" spans="1:10" ht="25.5" customHeight="1" x14ac:dyDescent="0.25">
      <c r="A78" s="60">
        <v>1</v>
      </c>
      <c r="B78" s="109" t="s">
        <v>20</v>
      </c>
      <c r="C78" s="110"/>
      <c r="D78" s="110"/>
      <c r="E78" s="110"/>
      <c r="F78" s="110"/>
      <c r="G78" s="110"/>
      <c r="H78" s="110"/>
      <c r="I78" s="111"/>
      <c r="J78" s="73">
        <v>19886</v>
      </c>
    </row>
    <row r="79" spans="1:10" ht="25.5" customHeight="1" x14ac:dyDescent="0.25">
      <c r="A79" s="60">
        <v>2</v>
      </c>
      <c r="B79" s="109" t="s">
        <v>19</v>
      </c>
      <c r="C79" s="110"/>
      <c r="D79" s="110"/>
      <c r="E79" s="110"/>
      <c r="F79" s="110"/>
      <c r="G79" s="110"/>
      <c r="H79" s="110"/>
      <c r="I79" s="111"/>
      <c r="J79" s="75">
        <v>366995</v>
      </c>
    </row>
    <row r="80" spans="1:10" ht="25.5" customHeight="1" x14ac:dyDescent="0.25">
      <c r="A80" s="60">
        <v>3</v>
      </c>
      <c r="B80" s="109" t="s">
        <v>7</v>
      </c>
      <c r="C80" s="110"/>
      <c r="D80" s="110"/>
      <c r="E80" s="110"/>
      <c r="F80" s="110"/>
      <c r="G80" s="110"/>
      <c r="H80" s="110"/>
      <c r="I80" s="111"/>
      <c r="J80" s="76">
        <f>4868.42+218.32</f>
        <v>5086.74</v>
      </c>
    </row>
    <row r="81" spans="1:16" ht="25.5" customHeight="1" x14ac:dyDescent="0.25">
      <c r="A81" s="159" t="s">
        <v>39</v>
      </c>
      <c r="B81" s="160"/>
      <c r="C81" s="160"/>
      <c r="D81" s="160"/>
      <c r="E81" s="160"/>
      <c r="F81" s="160"/>
      <c r="G81" s="160"/>
      <c r="H81" s="160"/>
      <c r="I81" s="161"/>
      <c r="J81" s="77">
        <f>SUM(J82:J84)</f>
        <v>575603.19999999995</v>
      </c>
    </row>
    <row r="82" spans="1:16" ht="25.5" customHeight="1" x14ac:dyDescent="0.25">
      <c r="A82" s="60">
        <v>1</v>
      </c>
      <c r="B82" s="109" t="s">
        <v>20</v>
      </c>
      <c r="C82" s="110"/>
      <c r="D82" s="110"/>
      <c r="E82" s="110"/>
      <c r="F82" s="110"/>
      <c r="G82" s="110"/>
      <c r="H82" s="110"/>
      <c r="I82" s="111"/>
      <c r="J82" s="78">
        <v>24733.85</v>
      </c>
    </row>
    <row r="83" spans="1:16" ht="25.5" customHeight="1" x14ac:dyDescent="0.25">
      <c r="A83" s="60">
        <v>2</v>
      </c>
      <c r="B83" s="109" t="s">
        <v>19</v>
      </c>
      <c r="C83" s="110"/>
      <c r="D83" s="110"/>
      <c r="E83" s="110"/>
      <c r="F83" s="110"/>
      <c r="G83" s="110"/>
      <c r="H83" s="110"/>
      <c r="I83" s="111"/>
      <c r="J83" s="79">
        <f>179690+364506.4</f>
        <v>544196.4</v>
      </c>
    </row>
    <row r="84" spans="1:16" ht="25.5" customHeight="1" x14ac:dyDescent="0.25">
      <c r="A84" s="60">
        <v>3</v>
      </c>
      <c r="B84" s="109" t="s">
        <v>7</v>
      </c>
      <c r="C84" s="110"/>
      <c r="D84" s="110"/>
      <c r="E84" s="110"/>
      <c r="F84" s="110"/>
      <c r="G84" s="110"/>
      <c r="H84" s="110"/>
      <c r="I84" s="111"/>
      <c r="J84" s="79">
        <v>6672.95</v>
      </c>
    </row>
    <row r="85" spans="1:16" ht="25.5" customHeight="1" x14ac:dyDescent="0.25">
      <c r="A85" s="159" t="s">
        <v>40</v>
      </c>
      <c r="B85" s="160"/>
      <c r="C85" s="160"/>
      <c r="D85" s="160"/>
      <c r="E85" s="160"/>
      <c r="F85" s="160"/>
      <c r="G85" s="160"/>
      <c r="H85" s="160"/>
      <c r="I85" s="161"/>
      <c r="J85" s="77">
        <f>SUM(J86:J88)</f>
        <v>1019625.62</v>
      </c>
    </row>
    <row r="86" spans="1:16" ht="25.5" customHeight="1" x14ac:dyDescent="0.25">
      <c r="A86" s="60">
        <v>1</v>
      </c>
      <c r="B86" s="109" t="s">
        <v>20</v>
      </c>
      <c r="C86" s="110"/>
      <c r="D86" s="110"/>
      <c r="E86" s="110"/>
      <c r="F86" s="110"/>
      <c r="G86" s="110"/>
      <c r="H86" s="110"/>
      <c r="I86" s="111"/>
      <c r="J86" s="79">
        <v>42534.17</v>
      </c>
    </row>
    <row r="87" spans="1:16" ht="25.5" customHeight="1" x14ac:dyDescent="0.25">
      <c r="A87" s="60">
        <v>2</v>
      </c>
      <c r="B87" s="109" t="s">
        <v>19</v>
      </c>
      <c r="C87" s="110"/>
      <c r="D87" s="110"/>
      <c r="E87" s="110"/>
      <c r="F87" s="110"/>
      <c r="G87" s="110"/>
      <c r="H87" s="110"/>
      <c r="I87" s="111"/>
      <c r="J87" s="79">
        <f>352273+490242+121026</f>
        <v>963541</v>
      </c>
    </row>
    <row r="88" spans="1:16" ht="25.5" customHeight="1" x14ac:dyDescent="0.25">
      <c r="A88" s="60">
        <v>3</v>
      </c>
      <c r="B88" s="109" t="s">
        <v>7</v>
      </c>
      <c r="C88" s="110"/>
      <c r="D88" s="110"/>
      <c r="E88" s="110"/>
      <c r="F88" s="110"/>
      <c r="G88" s="110"/>
      <c r="H88" s="110"/>
      <c r="I88" s="111"/>
      <c r="J88" s="79">
        <f>11851.4+1699.05</f>
        <v>13550.449999999999</v>
      </c>
    </row>
    <row r="89" spans="1:16" ht="25.5" customHeight="1" x14ac:dyDescent="0.25">
      <c r="A89" s="159" t="s">
        <v>41</v>
      </c>
      <c r="B89" s="160"/>
      <c r="C89" s="160"/>
      <c r="D89" s="160"/>
      <c r="E89" s="160"/>
      <c r="F89" s="160"/>
      <c r="G89" s="160"/>
      <c r="H89" s="160"/>
      <c r="I89" s="161"/>
      <c r="J89" s="77">
        <f>SUM(J90:J92)</f>
        <v>994764.12999999989</v>
      </c>
      <c r="P89" t="s">
        <v>62</v>
      </c>
    </row>
    <row r="90" spans="1:16" ht="25.5" customHeight="1" x14ac:dyDescent="0.25">
      <c r="A90" s="60">
        <v>1</v>
      </c>
      <c r="B90" s="109" t="s">
        <v>20</v>
      </c>
      <c r="C90" s="110"/>
      <c r="D90" s="110"/>
      <c r="E90" s="110"/>
      <c r="F90" s="110"/>
      <c r="G90" s="110"/>
      <c r="H90" s="110"/>
      <c r="I90" s="111"/>
      <c r="J90" s="79">
        <v>29679.53</v>
      </c>
      <c r="N90" s="162">
        <v>1516011</v>
      </c>
      <c r="O90">
        <v>2018</v>
      </c>
      <c r="P90">
        <v>1524716.13</v>
      </c>
    </row>
    <row r="91" spans="1:16" ht="25.5" customHeight="1" x14ac:dyDescent="0.25">
      <c r="A91" s="60">
        <v>2</v>
      </c>
      <c r="B91" s="109" t="s">
        <v>19</v>
      </c>
      <c r="C91" s="110"/>
      <c r="D91" s="110"/>
      <c r="E91" s="110"/>
      <c r="F91" s="110"/>
      <c r="G91" s="110"/>
      <c r="H91" s="110"/>
      <c r="I91" s="111"/>
      <c r="J91" s="79">
        <f>379549.8+573870.6</f>
        <v>953420.39999999991</v>
      </c>
      <c r="N91" s="162"/>
      <c r="O91" s="2">
        <v>2019</v>
      </c>
      <c r="P91" s="1">
        <f>J110+J106+J102+J98+J94+J90+J88+J87+J86+J84+J83+J82+J80+J79+J76+J75+J72+J71+J68+J67+J64+J63+J60+J59+J56+J55+J52+J51+J48+J47+J44+J43+J40+J39+J36+J35</f>
        <v>4955570.3899999997</v>
      </c>
    </row>
    <row r="92" spans="1:16" ht="25.5" customHeight="1" x14ac:dyDescent="0.25">
      <c r="A92" s="60">
        <v>3</v>
      </c>
      <c r="B92" s="109" t="s">
        <v>7</v>
      </c>
      <c r="C92" s="110"/>
      <c r="D92" s="110"/>
      <c r="E92" s="110"/>
      <c r="F92" s="110"/>
      <c r="G92" s="110"/>
      <c r="H92" s="110"/>
      <c r="I92" s="111"/>
      <c r="J92" s="76">
        <f>11664.2</f>
        <v>11664.2</v>
      </c>
      <c r="N92" s="162"/>
      <c r="O92" s="3">
        <v>2020</v>
      </c>
      <c r="P92" s="1">
        <f>J91+J92+J95+J96+J99+J100+J103+J104+J107+J108+J111+J112</f>
        <v>5856183.3699999992</v>
      </c>
    </row>
    <row r="93" spans="1:16" ht="25.5" customHeight="1" x14ac:dyDescent="0.25">
      <c r="A93" s="159" t="s">
        <v>42</v>
      </c>
      <c r="B93" s="160"/>
      <c r="C93" s="160"/>
      <c r="D93" s="160"/>
      <c r="E93" s="160"/>
      <c r="F93" s="160"/>
      <c r="G93" s="160"/>
      <c r="H93" s="160"/>
      <c r="I93" s="161"/>
      <c r="J93" s="80">
        <f>SUM(J94:J96)</f>
        <v>1326859.81</v>
      </c>
      <c r="P93">
        <f>SUM(P90:P92)</f>
        <v>12336469.889999999</v>
      </c>
    </row>
    <row r="94" spans="1:16" ht="25.5" customHeight="1" x14ac:dyDescent="0.25">
      <c r="A94" s="60">
        <v>1</v>
      </c>
      <c r="B94" s="109" t="s">
        <v>20</v>
      </c>
      <c r="C94" s="110"/>
      <c r="D94" s="110"/>
      <c r="E94" s="110"/>
      <c r="F94" s="110"/>
      <c r="G94" s="110"/>
      <c r="H94" s="110"/>
      <c r="I94" s="111"/>
      <c r="J94" s="79">
        <v>30211.29</v>
      </c>
      <c r="O94" s="6"/>
    </row>
    <row r="95" spans="1:16" ht="25.5" customHeight="1" x14ac:dyDescent="0.25">
      <c r="A95" s="60">
        <v>2</v>
      </c>
      <c r="B95" s="109" t="s">
        <v>19</v>
      </c>
      <c r="C95" s="110"/>
      <c r="D95" s="110"/>
      <c r="E95" s="110"/>
      <c r="F95" s="110"/>
      <c r="G95" s="110"/>
      <c r="H95" s="110"/>
      <c r="I95" s="111"/>
      <c r="J95" s="79">
        <f>380000+686547+212153</f>
        <v>1278700</v>
      </c>
    </row>
    <row r="96" spans="1:16" ht="25.5" customHeight="1" x14ac:dyDescent="0.25">
      <c r="A96" s="60">
        <v>3</v>
      </c>
      <c r="B96" s="109" t="s">
        <v>7</v>
      </c>
      <c r="C96" s="110"/>
      <c r="D96" s="110"/>
      <c r="E96" s="110"/>
      <c r="F96" s="110"/>
      <c r="G96" s="110"/>
      <c r="H96" s="110"/>
      <c r="I96" s="111"/>
      <c r="J96" s="76">
        <v>17948.52</v>
      </c>
    </row>
    <row r="97" spans="1:10" ht="25.5" customHeight="1" x14ac:dyDescent="0.25">
      <c r="A97" s="159" t="s">
        <v>43</v>
      </c>
      <c r="B97" s="160"/>
      <c r="C97" s="160"/>
      <c r="D97" s="160"/>
      <c r="E97" s="160"/>
      <c r="F97" s="160"/>
      <c r="G97" s="160"/>
      <c r="H97" s="160"/>
      <c r="I97" s="161"/>
      <c r="J97" s="80">
        <f>SUM(J98:J100)</f>
        <v>749126.84</v>
      </c>
    </row>
    <row r="98" spans="1:10" ht="25.5" customHeight="1" x14ac:dyDescent="0.25">
      <c r="A98" s="60">
        <v>1</v>
      </c>
      <c r="B98" s="109" t="s">
        <v>20</v>
      </c>
      <c r="C98" s="110"/>
      <c r="D98" s="110"/>
      <c r="E98" s="110"/>
      <c r="F98" s="110"/>
      <c r="G98" s="110"/>
      <c r="H98" s="110"/>
      <c r="I98" s="111"/>
      <c r="J98" s="79">
        <v>34983.589999999997</v>
      </c>
    </row>
    <row r="99" spans="1:10" ht="25.5" customHeight="1" x14ac:dyDescent="0.25">
      <c r="A99" s="60">
        <v>2</v>
      </c>
      <c r="B99" s="109" t="s">
        <v>19</v>
      </c>
      <c r="C99" s="110"/>
      <c r="D99" s="110"/>
      <c r="E99" s="110"/>
      <c r="F99" s="110"/>
      <c r="G99" s="110"/>
      <c r="H99" s="110"/>
      <c r="I99" s="111"/>
      <c r="J99" s="79">
        <f>232496.7+339021.3+133969.2</f>
        <v>705487.2</v>
      </c>
    </row>
    <row r="100" spans="1:10" ht="25.5" customHeight="1" x14ac:dyDescent="0.25">
      <c r="A100" s="60">
        <v>3</v>
      </c>
      <c r="B100" s="109" t="s">
        <v>7</v>
      </c>
      <c r="C100" s="110"/>
      <c r="D100" s="110"/>
      <c r="E100" s="110"/>
      <c r="F100" s="110"/>
      <c r="G100" s="110"/>
      <c r="H100" s="110"/>
      <c r="I100" s="111"/>
      <c r="J100" s="78">
        <f>7030.95+1625.1</f>
        <v>8656.0499999999993</v>
      </c>
    </row>
    <row r="101" spans="1:10" ht="25.5" customHeight="1" x14ac:dyDescent="0.25">
      <c r="A101" s="159" t="s">
        <v>44</v>
      </c>
      <c r="B101" s="160"/>
      <c r="C101" s="160"/>
      <c r="D101" s="160"/>
      <c r="E101" s="160"/>
      <c r="F101" s="160"/>
      <c r="G101" s="160"/>
      <c r="H101" s="160"/>
      <c r="I101" s="161"/>
      <c r="J101" s="80">
        <f>SUM(J102:J104)</f>
        <v>910874.46</v>
      </c>
    </row>
    <row r="102" spans="1:10" ht="25.5" customHeight="1" x14ac:dyDescent="0.25">
      <c r="A102" s="60">
        <v>1</v>
      </c>
      <c r="B102" s="109" t="s">
        <v>20</v>
      </c>
      <c r="C102" s="110"/>
      <c r="D102" s="110"/>
      <c r="E102" s="110"/>
      <c r="F102" s="110"/>
      <c r="G102" s="110"/>
      <c r="H102" s="110"/>
      <c r="I102" s="111"/>
      <c r="J102" s="79">
        <v>46032.71</v>
      </c>
    </row>
    <row r="103" spans="1:10" ht="25.5" customHeight="1" x14ac:dyDescent="0.25">
      <c r="A103" s="60">
        <v>2</v>
      </c>
      <c r="B103" s="109" t="s">
        <v>19</v>
      </c>
      <c r="C103" s="110"/>
      <c r="D103" s="110"/>
      <c r="E103" s="110"/>
      <c r="F103" s="110"/>
      <c r="G103" s="110"/>
      <c r="H103" s="110"/>
      <c r="I103" s="111"/>
      <c r="J103" s="79">
        <f>250000+479323+123564</f>
        <v>852887</v>
      </c>
    </row>
    <row r="104" spans="1:10" ht="25.5" customHeight="1" x14ac:dyDescent="0.25">
      <c r="A104" s="60">
        <v>3</v>
      </c>
      <c r="B104" s="109" t="s">
        <v>7</v>
      </c>
      <c r="C104" s="110"/>
      <c r="D104" s="110"/>
      <c r="E104" s="110"/>
      <c r="F104" s="110"/>
      <c r="G104" s="110"/>
      <c r="H104" s="110"/>
      <c r="I104" s="111"/>
      <c r="J104" s="78">
        <f>10245.1+1709.65</f>
        <v>11954.75</v>
      </c>
    </row>
    <row r="105" spans="1:10" ht="25.5" customHeight="1" x14ac:dyDescent="0.25">
      <c r="A105" s="159" t="s">
        <v>45</v>
      </c>
      <c r="B105" s="160"/>
      <c r="C105" s="160"/>
      <c r="D105" s="160"/>
      <c r="E105" s="160"/>
      <c r="F105" s="160"/>
      <c r="G105" s="160"/>
      <c r="H105" s="160"/>
      <c r="I105" s="161"/>
      <c r="J105" s="80">
        <f>SUM(J106:J108)</f>
        <v>801079.41</v>
      </c>
    </row>
    <row r="106" spans="1:10" ht="25.5" customHeight="1" x14ac:dyDescent="0.25">
      <c r="A106" s="60">
        <v>1</v>
      </c>
      <c r="B106" s="109" t="s">
        <v>20</v>
      </c>
      <c r="C106" s="110"/>
      <c r="D106" s="110"/>
      <c r="E106" s="110"/>
      <c r="F106" s="110"/>
      <c r="G106" s="110"/>
      <c r="H106" s="110"/>
      <c r="I106" s="111"/>
      <c r="J106" s="79">
        <v>42491.41</v>
      </c>
    </row>
    <row r="107" spans="1:10" ht="25.5" customHeight="1" x14ac:dyDescent="0.25">
      <c r="A107" s="60">
        <v>2</v>
      </c>
      <c r="B107" s="109" t="s">
        <v>19</v>
      </c>
      <c r="C107" s="110"/>
      <c r="D107" s="110"/>
      <c r="E107" s="110"/>
      <c r="F107" s="110"/>
      <c r="G107" s="110"/>
      <c r="H107" s="110"/>
      <c r="I107" s="111"/>
      <c r="J107" s="79">
        <f>231028+517084</f>
        <v>748112</v>
      </c>
    </row>
    <row r="108" spans="1:10" ht="25.5" customHeight="1" x14ac:dyDescent="0.25">
      <c r="A108" s="60">
        <v>3</v>
      </c>
      <c r="B108" s="109" t="s">
        <v>7</v>
      </c>
      <c r="C108" s="110"/>
      <c r="D108" s="110"/>
      <c r="E108" s="110"/>
      <c r="F108" s="110"/>
      <c r="G108" s="110"/>
      <c r="H108" s="110"/>
      <c r="I108" s="111"/>
      <c r="J108" s="76">
        <v>10476</v>
      </c>
    </row>
    <row r="109" spans="1:10" ht="25.5" customHeight="1" x14ac:dyDescent="0.25">
      <c r="A109" s="159" t="s">
        <v>46</v>
      </c>
      <c r="B109" s="160"/>
      <c r="C109" s="160"/>
      <c r="D109" s="160"/>
      <c r="E109" s="160"/>
      <c r="F109" s="160"/>
      <c r="G109" s="160"/>
      <c r="H109" s="160"/>
      <c r="I109" s="161"/>
      <c r="J109" s="80">
        <f>SUM(J110:J112)</f>
        <v>1308266.78</v>
      </c>
    </row>
    <row r="110" spans="1:10" ht="25.5" customHeight="1" x14ac:dyDescent="0.25">
      <c r="A110" s="60">
        <v>1</v>
      </c>
      <c r="B110" s="109" t="s">
        <v>20</v>
      </c>
      <c r="C110" s="110"/>
      <c r="D110" s="110"/>
      <c r="E110" s="110"/>
      <c r="F110" s="110"/>
      <c r="G110" s="110"/>
      <c r="H110" s="110"/>
      <c r="I110" s="111"/>
      <c r="J110" s="79">
        <v>51389.53</v>
      </c>
    </row>
    <row r="111" spans="1:10" ht="25.5" customHeight="1" x14ac:dyDescent="0.25">
      <c r="A111" s="60">
        <v>2</v>
      </c>
      <c r="B111" s="109" t="s">
        <v>19</v>
      </c>
      <c r="C111" s="110"/>
      <c r="D111" s="110"/>
      <c r="E111" s="110"/>
      <c r="F111" s="110"/>
      <c r="G111" s="110"/>
      <c r="H111" s="110"/>
      <c r="I111" s="111"/>
      <c r="J111" s="79">
        <f>424864+353660+343346+117745</f>
        <v>1239615</v>
      </c>
    </row>
    <row r="112" spans="1:10" ht="25.5" customHeight="1" x14ac:dyDescent="0.25">
      <c r="A112" s="60">
        <v>3</v>
      </c>
      <c r="B112" s="109" t="s">
        <v>7</v>
      </c>
      <c r="C112" s="110"/>
      <c r="D112" s="110"/>
      <c r="E112" s="110"/>
      <c r="F112" s="110"/>
      <c r="G112" s="110"/>
      <c r="H112" s="110"/>
      <c r="I112" s="111"/>
      <c r="J112" s="76">
        <f>10925.6+4686.55+1650.1</f>
        <v>17262.25</v>
      </c>
    </row>
    <row r="113" spans="1:10" ht="15" customHeight="1" x14ac:dyDescent="0.25">
      <c r="A113" s="121" t="s">
        <v>48</v>
      </c>
      <c r="B113" s="122"/>
      <c r="C113" s="122"/>
      <c r="D113" s="122"/>
      <c r="E113" s="122"/>
      <c r="F113" s="122"/>
      <c r="G113" s="122"/>
      <c r="H113" s="122"/>
      <c r="I113" s="123"/>
      <c r="J113" s="114">
        <f>J9+J13+J17+J21+J25+J29+J33+J37+J41+J45+J49+J53+J57+J61+J65+J69+J73+J77+J81+J85+J89+J93+J97+J101+J105+J109</f>
        <v>12336469.889999999</v>
      </c>
    </row>
    <row r="114" spans="1:10" ht="15" customHeight="1" x14ac:dyDescent="0.25">
      <c r="A114" s="124"/>
      <c r="B114" s="125"/>
      <c r="C114" s="125"/>
      <c r="D114" s="125"/>
      <c r="E114" s="125"/>
      <c r="F114" s="125"/>
      <c r="G114" s="125"/>
      <c r="H114" s="125"/>
      <c r="I114" s="126"/>
      <c r="J114" s="114"/>
    </row>
    <row r="115" spans="1:10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</row>
    <row r="116" spans="1:10" ht="1.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</row>
    <row r="117" spans="1:10" ht="15" hidden="1" customHeight="1" x14ac:dyDescent="0.25">
      <c r="A117" s="163" t="s">
        <v>20</v>
      </c>
      <c r="B117" s="163"/>
      <c r="C117" s="163"/>
      <c r="D117" s="163"/>
      <c r="E117" s="163"/>
      <c r="F117" s="163"/>
      <c r="G117" s="163"/>
      <c r="H117" s="163"/>
      <c r="I117" s="163"/>
      <c r="J117" s="71">
        <f>J10+J14+J18+J22+J26+J30+J34+J38+J42+J46+J50+J54+J58+J62+J66+J70+J74+J78+J82+J86+J90+J94+J98+J102+J106+J110</f>
        <v>593450.07999999996</v>
      </c>
    </row>
    <row r="118" spans="1:10" ht="15" hidden="1" customHeight="1" x14ac:dyDescent="0.25">
      <c r="A118" s="163" t="s">
        <v>19</v>
      </c>
      <c r="B118" s="163"/>
      <c r="C118" s="163"/>
      <c r="D118" s="163"/>
      <c r="E118" s="163"/>
      <c r="F118" s="163"/>
      <c r="G118" s="163"/>
      <c r="H118" s="163"/>
      <c r="I118" s="163"/>
      <c r="J118" s="71">
        <f>J11+J15+J19+J23+J27+J31+J35+J39+J43+J47+J51+J55+J59+J63+J67+J71+J75+J79+J83+J87+J91+J95+J99+J103+J107+J111</f>
        <v>11587646.68</v>
      </c>
    </row>
    <row r="119" spans="1:10" ht="15" hidden="1" customHeight="1" x14ac:dyDescent="0.25">
      <c r="A119" s="163" t="s">
        <v>7</v>
      </c>
      <c r="B119" s="163"/>
      <c r="C119" s="163"/>
      <c r="D119" s="163"/>
      <c r="E119" s="163"/>
      <c r="F119" s="163"/>
      <c r="G119" s="163"/>
      <c r="H119" s="163"/>
      <c r="I119" s="163"/>
      <c r="J119" s="71">
        <f>J12+J16+J20+J24+J28+J32+J36+J40+J44+J48+J52+J56+J60+J64+J68+J72+J76+J80+J84+J88+J92+J96+J100+J104+J108+J112</f>
        <v>155373.13</v>
      </c>
    </row>
    <row r="120" spans="1:10" hidden="1" x14ac:dyDescent="0.25">
      <c r="A120" s="164" t="s">
        <v>47</v>
      </c>
      <c r="B120" s="165"/>
      <c r="C120" s="165"/>
      <c r="D120" s="165"/>
      <c r="E120" s="165"/>
      <c r="F120" s="165"/>
      <c r="G120" s="165"/>
      <c r="H120" s="165"/>
      <c r="I120" s="166"/>
      <c r="J120" s="71">
        <f>SUM(J117:J119)</f>
        <v>12336469.890000001</v>
      </c>
    </row>
    <row r="121" spans="1:10" ht="15.75" x14ac:dyDescent="0.25">
      <c r="A121" s="90" t="s">
        <v>129</v>
      </c>
      <c r="B121" s="90"/>
      <c r="C121" s="90"/>
      <c r="D121" s="90"/>
      <c r="E121" s="90"/>
      <c r="F121" s="90"/>
      <c r="G121" s="90"/>
      <c r="H121" s="90"/>
      <c r="I121" s="90"/>
      <c r="J121" s="90"/>
    </row>
  </sheetData>
  <mergeCells count="118">
    <mergeCell ref="A119:I119"/>
    <mergeCell ref="A120:I120"/>
    <mergeCell ref="A121:J121"/>
    <mergeCell ref="B111:I111"/>
    <mergeCell ref="B112:I112"/>
    <mergeCell ref="A113:I114"/>
    <mergeCell ref="J113:J114"/>
    <mergeCell ref="A117:I117"/>
    <mergeCell ref="A118:I118"/>
    <mergeCell ref="A105:I105"/>
    <mergeCell ref="B106:I106"/>
    <mergeCell ref="B107:I107"/>
    <mergeCell ref="B108:I108"/>
    <mergeCell ref="A109:I109"/>
    <mergeCell ref="B110:I110"/>
    <mergeCell ref="B99:I99"/>
    <mergeCell ref="B100:I100"/>
    <mergeCell ref="A101:I101"/>
    <mergeCell ref="B102:I102"/>
    <mergeCell ref="B103:I103"/>
    <mergeCell ref="B104:I104"/>
    <mergeCell ref="A93:I93"/>
    <mergeCell ref="B94:I94"/>
    <mergeCell ref="B95:I95"/>
    <mergeCell ref="B96:I96"/>
    <mergeCell ref="A97:I97"/>
    <mergeCell ref="B98:I98"/>
    <mergeCell ref="B87:I87"/>
    <mergeCell ref="B88:I88"/>
    <mergeCell ref="A89:I89"/>
    <mergeCell ref="B90:I90"/>
    <mergeCell ref="N90:N92"/>
    <mergeCell ref="B91:I91"/>
    <mergeCell ref="B92:I92"/>
    <mergeCell ref="A81:I81"/>
    <mergeCell ref="B82:I82"/>
    <mergeCell ref="B83:I83"/>
    <mergeCell ref="B84:I84"/>
    <mergeCell ref="A85:I85"/>
    <mergeCell ref="B86:I86"/>
    <mergeCell ref="B75:I75"/>
    <mergeCell ref="B76:I76"/>
    <mergeCell ref="A77:I77"/>
    <mergeCell ref="B78:I78"/>
    <mergeCell ref="B79:I79"/>
    <mergeCell ref="B80:I80"/>
    <mergeCell ref="A69:I69"/>
    <mergeCell ref="B70:I70"/>
    <mergeCell ref="B71:I71"/>
    <mergeCell ref="B72:I72"/>
    <mergeCell ref="A73:I73"/>
    <mergeCell ref="B74:I74"/>
    <mergeCell ref="B63:I63"/>
    <mergeCell ref="B64:I64"/>
    <mergeCell ref="A65:I65"/>
    <mergeCell ref="B66:I66"/>
    <mergeCell ref="B67:I67"/>
    <mergeCell ref="B68:I68"/>
    <mergeCell ref="A57:I57"/>
    <mergeCell ref="B58:I58"/>
    <mergeCell ref="B59:I59"/>
    <mergeCell ref="B60:I60"/>
    <mergeCell ref="A61:I61"/>
    <mergeCell ref="B62:I62"/>
    <mergeCell ref="B51:I51"/>
    <mergeCell ref="B52:I52"/>
    <mergeCell ref="A53:I53"/>
    <mergeCell ref="B54:I54"/>
    <mergeCell ref="B55:I55"/>
    <mergeCell ref="B56:I56"/>
    <mergeCell ref="A45:I45"/>
    <mergeCell ref="B46:I46"/>
    <mergeCell ref="B47:I47"/>
    <mergeCell ref="B48:I48"/>
    <mergeCell ref="A49:I49"/>
    <mergeCell ref="B50:I50"/>
    <mergeCell ref="B39:I39"/>
    <mergeCell ref="B40:I40"/>
    <mergeCell ref="A41:I41"/>
    <mergeCell ref="B42:I42"/>
    <mergeCell ref="B43:I43"/>
    <mergeCell ref="B44:I44"/>
    <mergeCell ref="A33:I33"/>
    <mergeCell ref="B34:I34"/>
    <mergeCell ref="B35:I35"/>
    <mergeCell ref="B36:I36"/>
    <mergeCell ref="A37:I37"/>
    <mergeCell ref="B38:I38"/>
    <mergeCell ref="B27:I27"/>
    <mergeCell ref="B28:I28"/>
    <mergeCell ref="A29:I29"/>
    <mergeCell ref="B30:I30"/>
    <mergeCell ref="B31:I31"/>
    <mergeCell ref="B32:I32"/>
    <mergeCell ref="A21:I21"/>
    <mergeCell ref="B22:I22"/>
    <mergeCell ref="B23:I23"/>
    <mergeCell ref="B24:I24"/>
    <mergeCell ref="A25:I25"/>
    <mergeCell ref="B26:I26"/>
    <mergeCell ref="B18:I18"/>
    <mergeCell ref="B19:I19"/>
    <mergeCell ref="B20:I20"/>
    <mergeCell ref="A9:I9"/>
    <mergeCell ref="B10:I10"/>
    <mergeCell ref="B11:I11"/>
    <mergeCell ref="B12:I12"/>
    <mergeCell ref="A13:I13"/>
    <mergeCell ref="B14:I14"/>
    <mergeCell ref="G2:J2"/>
    <mergeCell ref="D3:J3"/>
    <mergeCell ref="A5:J5"/>
    <mergeCell ref="A7:A8"/>
    <mergeCell ref="B7:I8"/>
    <mergeCell ref="J7:J8"/>
    <mergeCell ref="B15:I15"/>
    <mergeCell ref="B16:I16"/>
    <mergeCell ref="A17:I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0"/>
  <sheetViews>
    <sheetView tabSelected="1" workbookViewId="0">
      <selection activeCell="U14" sqref="U14"/>
    </sheetView>
  </sheetViews>
  <sheetFormatPr defaultRowHeight="15" x14ac:dyDescent="0.25"/>
  <cols>
    <col min="1" max="1" width="4.7109375" customWidth="1"/>
    <col min="8" max="8" width="3.28515625" customWidth="1"/>
    <col min="9" max="9" width="4.28515625" customWidth="1"/>
    <col min="10" max="10" width="16.7109375" customWidth="1"/>
    <col min="11" max="11" width="9.140625" customWidth="1"/>
    <col min="12" max="12" width="8.7109375" customWidth="1"/>
    <col min="13" max="15" width="9.140625" hidden="1" customWidth="1"/>
    <col min="16" max="16" width="11.42578125" hidden="1" customWidth="1"/>
    <col min="17" max="17" width="12.28515625" hidden="1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  <c r="I1" s="25"/>
      <c r="J1" s="51" t="s">
        <v>11</v>
      </c>
    </row>
    <row r="2" spans="1:10" x14ac:dyDescent="0.25">
      <c r="A2" s="25"/>
      <c r="B2" s="25"/>
      <c r="C2" s="25"/>
      <c r="D2" s="25"/>
      <c r="E2" s="25"/>
      <c r="F2" s="25"/>
      <c r="G2" s="91" t="s">
        <v>130</v>
      </c>
      <c r="H2" s="91"/>
      <c r="I2" s="91"/>
      <c r="J2" s="91"/>
    </row>
    <row r="3" spans="1:10" ht="13.5" customHeight="1" x14ac:dyDescent="0.25">
      <c r="A3" s="25"/>
      <c r="B3" s="25"/>
      <c r="C3" s="25"/>
      <c r="D3" s="91" t="s">
        <v>243</v>
      </c>
      <c r="E3" s="91"/>
      <c r="F3" s="91"/>
      <c r="G3" s="91"/>
      <c r="H3" s="91"/>
      <c r="I3" s="91"/>
      <c r="J3" s="91"/>
    </row>
    <row r="4" spans="1:10" ht="36" customHeight="1" x14ac:dyDescent="0.3">
      <c r="A4" s="92" t="s">
        <v>120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26.25" hidden="1" customHeight="1" x14ac:dyDescent="0.3">
      <c r="A5" s="52"/>
      <c r="B5" s="53"/>
      <c r="C5" s="53"/>
      <c r="D5" s="53"/>
      <c r="E5" s="53"/>
      <c r="F5" s="52"/>
      <c r="G5" s="52"/>
      <c r="H5" s="52"/>
      <c r="I5" s="52"/>
      <c r="J5" s="52"/>
    </row>
    <row r="6" spans="1:10" ht="15" customHeight="1" x14ac:dyDescent="0.25">
      <c r="A6" s="94" t="s">
        <v>1</v>
      </c>
      <c r="B6" s="170" t="s">
        <v>2</v>
      </c>
      <c r="C6" s="171"/>
      <c r="D6" s="171"/>
      <c r="E6" s="171"/>
      <c r="F6" s="171"/>
      <c r="G6" s="171"/>
      <c r="H6" s="171"/>
      <c r="I6" s="172"/>
      <c r="J6" s="176" t="s">
        <v>9</v>
      </c>
    </row>
    <row r="7" spans="1:10" ht="20.25" customHeight="1" x14ac:dyDescent="0.25">
      <c r="A7" s="95"/>
      <c r="B7" s="173"/>
      <c r="C7" s="174"/>
      <c r="D7" s="174"/>
      <c r="E7" s="174"/>
      <c r="F7" s="174"/>
      <c r="G7" s="174"/>
      <c r="H7" s="174"/>
      <c r="I7" s="175"/>
      <c r="J7" s="176"/>
    </row>
    <row r="8" spans="1:10" ht="20.25" customHeight="1" x14ac:dyDescent="0.25">
      <c r="A8" s="159" t="s">
        <v>63</v>
      </c>
      <c r="B8" s="160"/>
      <c r="C8" s="160"/>
      <c r="D8" s="160"/>
      <c r="E8" s="160"/>
      <c r="F8" s="160"/>
      <c r="G8" s="160"/>
      <c r="H8" s="160"/>
      <c r="I8" s="161"/>
      <c r="J8" s="62">
        <f>SUM(J9:J14)</f>
        <v>887332.42</v>
      </c>
    </row>
    <row r="9" spans="1:10" ht="21.75" customHeight="1" x14ac:dyDescent="0.25">
      <c r="A9" s="63">
        <v>1</v>
      </c>
      <c r="B9" s="109" t="s">
        <v>20</v>
      </c>
      <c r="C9" s="110"/>
      <c r="D9" s="110"/>
      <c r="E9" s="110"/>
      <c r="F9" s="110"/>
      <c r="G9" s="110"/>
      <c r="H9" s="110"/>
      <c r="I9" s="111"/>
      <c r="J9" s="56">
        <v>4110.91</v>
      </c>
    </row>
    <row r="10" spans="1:10" ht="21.75" customHeight="1" x14ac:dyDescent="0.25">
      <c r="A10" s="81">
        <v>2</v>
      </c>
      <c r="B10" s="109" t="s">
        <v>57</v>
      </c>
      <c r="C10" s="110"/>
      <c r="D10" s="110"/>
      <c r="E10" s="110"/>
      <c r="F10" s="110"/>
      <c r="G10" s="110"/>
      <c r="H10" s="110"/>
      <c r="I10" s="111"/>
      <c r="J10" s="56">
        <v>8287.32</v>
      </c>
    </row>
    <row r="11" spans="1:10" ht="17.25" customHeight="1" x14ac:dyDescent="0.25">
      <c r="A11" s="60">
        <v>3</v>
      </c>
      <c r="B11" s="109" t="s">
        <v>19</v>
      </c>
      <c r="C11" s="110"/>
      <c r="D11" s="110"/>
      <c r="E11" s="110"/>
      <c r="F11" s="110"/>
      <c r="G11" s="110"/>
      <c r="H11" s="110"/>
      <c r="I11" s="111"/>
      <c r="J11" s="55">
        <v>862678.04</v>
      </c>
    </row>
    <row r="12" spans="1:10" ht="17.25" customHeight="1" x14ac:dyDescent="0.25">
      <c r="A12" s="60">
        <v>4</v>
      </c>
      <c r="B12" s="109" t="s">
        <v>58</v>
      </c>
      <c r="C12" s="110"/>
      <c r="D12" s="110"/>
      <c r="E12" s="110"/>
      <c r="F12" s="110"/>
      <c r="G12" s="110"/>
      <c r="H12" s="110"/>
      <c r="I12" s="111"/>
      <c r="J12" s="55">
        <v>2640</v>
      </c>
    </row>
    <row r="13" spans="1:10" ht="17.25" customHeight="1" x14ac:dyDescent="0.25">
      <c r="A13" s="60">
        <v>5</v>
      </c>
      <c r="B13" s="109" t="s">
        <v>13</v>
      </c>
      <c r="C13" s="110"/>
      <c r="D13" s="110"/>
      <c r="E13" s="110"/>
      <c r="F13" s="110"/>
      <c r="G13" s="110"/>
      <c r="H13" s="110"/>
      <c r="I13" s="111"/>
      <c r="J13" s="55">
        <v>2620.8000000000002</v>
      </c>
    </row>
    <row r="14" spans="1:10" ht="16.5" customHeight="1" x14ac:dyDescent="0.25">
      <c r="A14" s="60">
        <v>6</v>
      </c>
      <c r="B14" s="109" t="s">
        <v>7</v>
      </c>
      <c r="C14" s="110"/>
      <c r="D14" s="110"/>
      <c r="E14" s="110"/>
      <c r="F14" s="110"/>
      <c r="G14" s="110"/>
      <c r="H14" s="110"/>
      <c r="I14" s="111"/>
      <c r="J14" s="55">
        <v>6995.35</v>
      </c>
    </row>
    <row r="15" spans="1:10" ht="18" customHeight="1" x14ac:dyDescent="0.25">
      <c r="A15" s="159" t="s">
        <v>64</v>
      </c>
      <c r="B15" s="160"/>
      <c r="C15" s="160"/>
      <c r="D15" s="160"/>
      <c r="E15" s="160"/>
      <c r="F15" s="160"/>
      <c r="G15" s="160"/>
      <c r="H15" s="160"/>
      <c r="I15" s="161"/>
      <c r="J15" s="67">
        <f>SUM(J16:J21)</f>
        <v>444653.11</v>
      </c>
    </row>
    <row r="16" spans="1:10" ht="19.5" customHeight="1" x14ac:dyDescent="0.25">
      <c r="A16" s="63">
        <v>1</v>
      </c>
      <c r="B16" s="109" t="s">
        <v>20</v>
      </c>
      <c r="C16" s="110"/>
      <c r="D16" s="110"/>
      <c r="E16" s="110"/>
      <c r="F16" s="110"/>
      <c r="G16" s="110"/>
      <c r="H16" s="110"/>
      <c r="I16" s="111"/>
      <c r="J16" s="56">
        <v>2055.46</v>
      </c>
    </row>
    <row r="17" spans="1:10" ht="19.5" customHeight="1" x14ac:dyDescent="0.25">
      <c r="A17" s="81">
        <v>2</v>
      </c>
      <c r="B17" s="109" t="s">
        <v>57</v>
      </c>
      <c r="C17" s="110"/>
      <c r="D17" s="110"/>
      <c r="E17" s="110"/>
      <c r="F17" s="110"/>
      <c r="G17" s="110"/>
      <c r="H17" s="110"/>
      <c r="I17" s="111"/>
      <c r="J17" s="56">
        <v>4143.66</v>
      </c>
    </row>
    <row r="18" spans="1:10" ht="18.75" customHeight="1" x14ac:dyDescent="0.25">
      <c r="A18" s="60">
        <v>3</v>
      </c>
      <c r="B18" s="109" t="s">
        <v>19</v>
      </c>
      <c r="C18" s="110"/>
      <c r="D18" s="110"/>
      <c r="E18" s="110"/>
      <c r="F18" s="110"/>
      <c r="G18" s="110"/>
      <c r="H18" s="110"/>
      <c r="I18" s="111"/>
      <c r="J18" s="55">
        <v>430780.74</v>
      </c>
    </row>
    <row r="19" spans="1:10" ht="18.75" customHeight="1" x14ac:dyDescent="0.25">
      <c r="A19" s="60">
        <v>4</v>
      </c>
      <c r="B19" s="109" t="s">
        <v>58</v>
      </c>
      <c r="C19" s="110"/>
      <c r="D19" s="110"/>
      <c r="E19" s="110"/>
      <c r="F19" s="110"/>
      <c r="G19" s="110"/>
      <c r="H19" s="110"/>
      <c r="I19" s="111"/>
      <c r="J19" s="55">
        <v>1320</v>
      </c>
    </row>
    <row r="20" spans="1:10" ht="18.75" customHeight="1" x14ac:dyDescent="0.25">
      <c r="A20" s="60">
        <v>5</v>
      </c>
      <c r="B20" s="109" t="s">
        <v>13</v>
      </c>
      <c r="C20" s="110"/>
      <c r="D20" s="110"/>
      <c r="E20" s="110"/>
      <c r="F20" s="110"/>
      <c r="G20" s="110"/>
      <c r="H20" s="110"/>
      <c r="I20" s="111"/>
      <c r="J20" s="55">
        <v>2620.8000000000002</v>
      </c>
    </row>
    <row r="21" spans="1:10" ht="20.25" customHeight="1" x14ac:dyDescent="0.25">
      <c r="A21" s="60">
        <v>6</v>
      </c>
      <c r="B21" s="109" t="s">
        <v>7</v>
      </c>
      <c r="C21" s="110"/>
      <c r="D21" s="110"/>
      <c r="E21" s="110"/>
      <c r="F21" s="110"/>
      <c r="G21" s="110"/>
      <c r="H21" s="110"/>
      <c r="I21" s="111"/>
      <c r="J21" s="56">
        <v>3732.45</v>
      </c>
    </row>
    <row r="22" spans="1:10" ht="19.5" customHeight="1" x14ac:dyDescent="0.25">
      <c r="A22" s="159" t="s">
        <v>65</v>
      </c>
      <c r="B22" s="160"/>
      <c r="C22" s="160"/>
      <c r="D22" s="160"/>
      <c r="E22" s="160"/>
      <c r="F22" s="160"/>
      <c r="G22" s="160"/>
      <c r="H22" s="160"/>
      <c r="I22" s="161"/>
      <c r="J22" s="67">
        <f>SUM(J23:J28)</f>
        <v>1009494.25</v>
      </c>
    </row>
    <row r="23" spans="1:10" ht="21" customHeight="1" x14ac:dyDescent="0.25">
      <c r="A23" s="63">
        <v>1</v>
      </c>
      <c r="B23" s="109" t="s">
        <v>20</v>
      </c>
      <c r="C23" s="110"/>
      <c r="D23" s="110"/>
      <c r="E23" s="110"/>
      <c r="F23" s="110"/>
      <c r="G23" s="110"/>
      <c r="H23" s="110"/>
      <c r="I23" s="111"/>
      <c r="J23" s="56">
        <v>4110.91</v>
      </c>
    </row>
    <row r="24" spans="1:10" ht="21" customHeight="1" x14ac:dyDescent="0.25">
      <c r="A24" s="81">
        <v>2</v>
      </c>
      <c r="B24" s="109" t="s">
        <v>57</v>
      </c>
      <c r="C24" s="110"/>
      <c r="D24" s="110"/>
      <c r="E24" s="110"/>
      <c r="F24" s="110"/>
      <c r="G24" s="110"/>
      <c r="H24" s="110"/>
      <c r="I24" s="111"/>
      <c r="J24" s="56">
        <v>8921.2800000000007</v>
      </c>
    </row>
    <row r="25" spans="1:10" ht="16.5" customHeight="1" x14ac:dyDescent="0.25">
      <c r="A25" s="60">
        <v>3</v>
      </c>
      <c r="B25" s="109" t="s">
        <v>19</v>
      </c>
      <c r="C25" s="110"/>
      <c r="D25" s="110"/>
      <c r="E25" s="110"/>
      <c r="F25" s="110"/>
      <c r="G25" s="110"/>
      <c r="H25" s="110"/>
      <c r="I25" s="111"/>
      <c r="J25" s="56">
        <v>979010.01</v>
      </c>
    </row>
    <row r="26" spans="1:10" ht="16.5" customHeight="1" x14ac:dyDescent="0.25">
      <c r="A26" s="60">
        <v>4</v>
      </c>
      <c r="B26" s="109" t="s">
        <v>58</v>
      </c>
      <c r="C26" s="110"/>
      <c r="D26" s="110"/>
      <c r="E26" s="110"/>
      <c r="F26" s="110"/>
      <c r="G26" s="110"/>
      <c r="H26" s="110"/>
      <c r="I26" s="111"/>
      <c r="J26" s="56">
        <v>2640</v>
      </c>
    </row>
    <row r="27" spans="1:10" ht="16.5" customHeight="1" x14ac:dyDescent="0.25">
      <c r="A27" s="60">
        <v>5</v>
      </c>
      <c r="B27" s="109" t="s">
        <v>13</v>
      </c>
      <c r="C27" s="110"/>
      <c r="D27" s="110"/>
      <c r="E27" s="110"/>
      <c r="F27" s="110"/>
      <c r="G27" s="110"/>
      <c r="H27" s="110"/>
      <c r="I27" s="111"/>
      <c r="J27" s="56">
        <v>2620.8000000000002</v>
      </c>
    </row>
    <row r="28" spans="1:10" ht="18" customHeight="1" x14ac:dyDescent="0.25">
      <c r="A28" s="60">
        <v>6</v>
      </c>
      <c r="B28" s="109" t="s">
        <v>7</v>
      </c>
      <c r="C28" s="110"/>
      <c r="D28" s="110"/>
      <c r="E28" s="110"/>
      <c r="F28" s="110"/>
      <c r="G28" s="110"/>
      <c r="H28" s="110"/>
      <c r="I28" s="111"/>
      <c r="J28" s="55">
        <v>12191.25</v>
      </c>
    </row>
    <row r="29" spans="1:10" ht="21" customHeight="1" x14ac:dyDescent="0.25">
      <c r="A29" s="159" t="s">
        <v>66</v>
      </c>
      <c r="B29" s="160"/>
      <c r="C29" s="160"/>
      <c r="D29" s="160"/>
      <c r="E29" s="160"/>
      <c r="F29" s="160"/>
      <c r="G29" s="160"/>
      <c r="H29" s="160"/>
      <c r="I29" s="161"/>
      <c r="J29" s="67">
        <f>SUM(J30:J35)</f>
        <v>505246.67</v>
      </c>
    </row>
    <row r="30" spans="1:10" ht="18" customHeight="1" x14ac:dyDescent="0.25">
      <c r="A30" s="63">
        <v>1</v>
      </c>
      <c r="B30" s="109" t="s">
        <v>20</v>
      </c>
      <c r="C30" s="110"/>
      <c r="D30" s="110"/>
      <c r="E30" s="110"/>
      <c r="F30" s="110"/>
      <c r="G30" s="110"/>
      <c r="H30" s="110"/>
      <c r="I30" s="111"/>
      <c r="J30" s="56">
        <v>2055.46</v>
      </c>
    </row>
    <row r="31" spans="1:10" ht="18" customHeight="1" x14ac:dyDescent="0.25">
      <c r="A31" s="81">
        <v>2</v>
      </c>
      <c r="B31" s="109" t="s">
        <v>57</v>
      </c>
      <c r="C31" s="110"/>
      <c r="D31" s="110"/>
      <c r="E31" s="110"/>
      <c r="F31" s="110"/>
      <c r="G31" s="110"/>
      <c r="H31" s="110"/>
      <c r="I31" s="111"/>
      <c r="J31" s="56">
        <v>4460.6400000000003</v>
      </c>
    </row>
    <row r="32" spans="1:10" ht="17.25" customHeight="1" x14ac:dyDescent="0.25">
      <c r="A32" s="60">
        <v>3</v>
      </c>
      <c r="B32" s="109" t="s">
        <v>19</v>
      </c>
      <c r="C32" s="110"/>
      <c r="D32" s="110"/>
      <c r="E32" s="110"/>
      <c r="F32" s="110"/>
      <c r="G32" s="110"/>
      <c r="H32" s="110"/>
      <c r="I32" s="111"/>
      <c r="J32" s="56">
        <v>488675.77</v>
      </c>
    </row>
    <row r="33" spans="1:10" ht="17.25" customHeight="1" x14ac:dyDescent="0.25">
      <c r="A33" s="60">
        <v>4</v>
      </c>
      <c r="B33" s="109" t="s">
        <v>58</v>
      </c>
      <c r="C33" s="110"/>
      <c r="D33" s="110"/>
      <c r="E33" s="110"/>
      <c r="F33" s="110"/>
      <c r="G33" s="110"/>
      <c r="H33" s="110"/>
      <c r="I33" s="111"/>
      <c r="J33" s="56">
        <v>1320</v>
      </c>
    </row>
    <row r="34" spans="1:10" ht="17.25" customHeight="1" x14ac:dyDescent="0.25">
      <c r="A34" s="60">
        <v>5</v>
      </c>
      <c r="B34" s="109" t="s">
        <v>13</v>
      </c>
      <c r="C34" s="110"/>
      <c r="D34" s="110"/>
      <c r="E34" s="110"/>
      <c r="F34" s="110"/>
      <c r="G34" s="110"/>
      <c r="H34" s="110"/>
      <c r="I34" s="111"/>
      <c r="J34" s="56">
        <v>2620.8000000000002</v>
      </c>
    </row>
    <row r="35" spans="1:10" ht="15" customHeight="1" x14ac:dyDescent="0.25">
      <c r="A35" s="60">
        <v>6</v>
      </c>
      <c r="B35" s="109" t="s">
        <v>7</v>
      </c>
      <c r="C35" s="110"/>
      <c r="D35" s="110"/>
      <c r="E35" s="110"/>
      <c r="F35" s="110"/>
      <c r="G35" s="110"/>
      <c r="H35" s="110"/>
      <c r="I35" s="111"/>
      <c r="J35" s="56">
        <v>6114</v>
      </c>
    </row>
    <row r="36" spans="1:10" ht="20.25" customHeight="1" x14ac:dyDescent="0.25">
      <c r="A36" s="159" t="s">
        <v>67</v>
      </c>
      <c r="B36" s="160"/>
      <c r="C36" s="160"/>
      <c r="D36" s="160"/>
      <c r="E36" s="160"/>
      <c r="F36" s="160"/>
      <c r="G36" s="160"/>
      <c r="H36" s="160"/>
      <c r="I36" s="161"/>
      <c r="J36" s="67">
        <f>SUM(J37:J42)</f>
        <v>1009582.45</v>
      </c>
    </row>
    <row r="37" spans="1:10" ht="21" customHeight="1" x14ac:dyDescent="0.25">
      <c r="A37" s="63">
        <v>1</v>
      </c>
      <c r="B37" s="109" t="s">
        <v>20</v>
      </c>
      <c r="C37" s="110"/>
      <c r="D37" s="110"/>
      <c r="E37" s="110"/>
      <c r="F37" s="110"/>
      <c r="G37" s="110"/>
      <c r="H37" s="110"/>
      <c r="I37" s="111"/>
      <c r="J37" s="56">
        <v>4110.91</v>
      </c>
    </row>
    <row r="38" spans="1:10" ht="21" customHeight="1" x14ac:dyDescent="0.25">
      <c r="A38" s="81">
        <v>2</v>
      </c>
      <c r="B38" s="109" t="s">
        <v>57</v>
      </c>
      <c r="C38" s="110"/>
      <c r="D38" s="110"/>
      <c r="E38" s="110"/>
      <c r="F38" s="110"/>
      <c r="G38" s="110"/>
      <c r="H38" s="110"/>
      <c r="I38" s="111"/>
      <c r="J38" s="56">
        <v>8921.2800000000007</v>
      </c>
    </row>
    <row r="39" spans="1:10" ht="19.5" customHeight="1" x14ac:dyDescent="0.25">
      <c r="A39" s="60">
        <v>3</v>
      </c>
      <c r="B39" s="109" t="s">
        <v>19</v>
      </c>
      <c r="C39" s="110"/>
      <c r="D39" s="110"/>
      <c r="E39" s="110"/>
      <c r="F39" s="110"/>
      <c r="G39" s="110"/>
      <c r="H39" s="110"/>
      <c r="I39" s="111"/>
      <c r="J39" s="56">
        <v>979098.21</v>
      </c>
    </row>
    <row r="40" spans="1:10" ht="19.5" customHeight="1" x14ac:dyDescent="0.25">
      <c r="A40" s="60">
        <v>4</v>
      </c>
      <c r="B40" s="109" t="s">
        <v>58</v>
      </c>
      <c r="C40" s="110"/>
      <c r="D40" s="110"/>
      <c r="E40" s="110"/>
      <c r="F40" s="110"/>
      <c r="G40" s="110"/>
      <c r="H40" s="110"/>
      <c r="I40" s="111"/>
      <c r="J40" s="56">
        <v>2640</v>
      </c>
    </row>
    <row r="41" spans="1:10" ht="19.5" customHeight="1" x14ac:dyDescent="0.25">
      <c r="A41" s="60">
        <v>5</v>
      </c>
      <c r="B41" s="109" t="s">
        <v>13</v>
      </c>
      <c r="C41" s="110"/>
      <c r="D41" s="110"/>
      <c r="E41" s="110"/>
      <c r="F41" s="110"/>
      <c r="G41" s="110"/>
      <c r="H41" s="110"/>
      <c r="I41" s="111"/>
      <c r="J41" s="56">
        <v>2620.8000000000002</v>
      </c>
    </row>
    <row r="42" spans="1:10" ht="21" customHeight="1" x14ac:dyDescent="0.25">
      <c r="A42" s="60">
        <v>6</v>
      </c>
      <c r="B42" s="109" t="s">
        <v>7</v>
      </c>
      <c r="C42" s="110"/>
      <c r="D42" s="110"/>
      <c r="E42" s="110"/>
      <c r="F42" s="110"/>
      <c r="G42" s="110"/>
      <c r="H42" s="110"/>
      <c r="I42" s="111"/>
      <c r="J42" s="56">
        <v>12191.25</v>
      </c>
    </row>
    <row r="43" spans="1:10" ht="17.25" customHeight="1" x14ac:dyDescent="0.25">
      <c r="A43" s="159" t="s">
        <v>68</v>
      </c>
      <c r="B43" s="160"/>
      <c r="C43" s="160"/>
      <c r="D43" s="160"/>
      <c r="E43" s="160"/>
      <c r="F43" s="160"/>
      <c r="G43" s="160"/>
      <c r="H43" s="160"/>
      <c r="I43" s="161"/>
      <c r="J43" s="67">
        <f>SUM(J44:J49)</f>
        <v>545848.36</v>
      </c>
    </row>
    <row r="44" spans="1:10" ht="20.25" customHeight="1" x14ac:dyDescent="0.25">
      <c r="A44" s="63">
        <v>1</v>
      </c>
      <c r="B44" s="109" t="s">
        <v>20</v>
      </c>
      <c r="C44" s="110"/>
      <c r="D44" s="110"/>
      <c r="E44" s="110"/>
      <c r="F44" s="110"/>
      <c r="G44" s="110"/>
      <c r="H44" s="110"/>
      <c r="I44" s="111"/>
      <c r="J44" s="56">
        <v>2055.46</v>
      </c>
    </row>
    <row r="45" spans="1:10" ht="20.25" customHeight="1" x14ac:dyDescent="0.25">
      <c r="A45" s="81">
        <v>2</v>
      </c>
      <c r="B45" s="109" t="s">
        <v>57</v>
      </c>
      <c r="C45" s="110"/>
      <c r="D45" s="110"/>
      <c r="E45" s="110"/>
      <c r="F45" s="110"/>
      <c r="G45" s="110"/>
      <c r="H45" s="110"/>
      <c r="I45" s="111"/>
      <c r="J45" s="56">
        <v>4671.96</v>
      </c>
    </row>
    <row r="46" spans="1:10" ht="20.25" customHeight="1" x14ac:dyDescent="0.25">
      <c r="A46" s="60">
        <v>3</v>
      </c>
      <c r="B46" s="109" t="s">
        <v>19</v>
      </c>
      <c r="C46" s="110"/>
      <c r="D46" s="110"/>
      <c r="E46" s="110"/>
      <c r="F46" s="110"/>
      <c r="G46" s="110"/>
      <c r="H46" s="110"/>
      <c r="I46" s="111"/>
      <c r="J46" s="56">
        <v>528570.43999999994</v>
      </c>
    </row>
    <row r="47" spans="1:10" ht="20.25" customHeight="1" x14ac:dyDescent="0.25">
      <c r="A47" s="60">
        <v>4</v>
      </c>
      <c r="B47" s="109" t="s">
        <v>58</v>
      </c>
      <c r="C47" s="110"/>
      <c r="D47" s="110"/>
      <c r="E47" s="110"/>
      <c r="F47" s="110"/>
      <c r="G47" s="110"/>
      <c r="H47" s="110"/>
      <c r="I47" s="111"/>
      <c r="J47" s="56">
        <v>1320</v>
      </c>
    </row>
    <row r="48" spans="1:10" ht="20.25" customHeight="1" x14ac:dyDescent="0.25">
      <c r="A48" s="60">
        <v>5</v>
      </c>
      <c r="B48" s="109" t="s">
        <v>13</v>
      </c>
      <c r="C48" s="110"/>
      <c r="D48" s="110"/>
      <c r="E48" s="110"/>
      <c r="F48" s="110"/>
      <c r="G48" s="110"/>
      <c r="H48" s="110"/>
      <c r="I48" s="111"/>
      <c r="J48" s="56">
        <v>2620.8000000000002</v>
      </c>
    </row>
    <row r="49" spans="1:10" ht="19.5" customHeight="1" x14ac:dyDescent="0.25">
      <c r="A49" s="60">
        <v>6</v>
      </c>
      <c r="B49" s="109" t="s">
        <v>7</v>
      </c>
      <c r="C49" s="110"/>
      <c r="D49" s="110"/>
      <c r="E49" s="110"/>
      <c r="F49" s="110"/>
      <c r="G49" s="110"/>
      <c r="H49" s="110"/>
      <c r="I49" s="111"/>
      <c r="J49" s="55">
        <v>6609.7</v>
      </c>
    </row>
    <row r="50" spans="1:10" ht="25.5" customHeight="1" x14ac:dyDescent="0.25">
      <c r="A50" s="159" t="s">
        <v>69</v>
      </c>
      <c r="B50" s="160"/>
      <c r="C50" s="160"/>
      <c r="D50" s="160"/>
      <c r="E50" s="160"/>
      <c r="F50" s="160"/>
      <c r="G50" s="160"/>
      <c r="H50" s="160"/>
      <c r="I50" s="161"/>
      <c r="J50" s="69">
        <f>SUM(J51:J56)</f>
        <v>488652.74999999994</v>
      </c>
    </row>
    <row r="51" spans="1:10" ht="25.5" customHeight="1" x14ac:dyDescent="0.25">
      <c r="A51" s="63">
        <v>1</v>
      </c>
      <c r="B51" s="109" t="s">
        <v>20</v>
      </c>
      <c r="C51" s="110"/>
      <c r="D51" s="110"/>
      <c r="E51" s="110"/>
      <c r="F51" s="110"/>
      <c r="G51" s="110"/>
      <c r="H51" s="110"/>
      <c r="I51" s="111"/>
      <c r="J51" s="56">
        <v>2055.46</v>
      </c>
    </row>
    <row r="52" spans="1:10" ht="25.5" customHeight="1" x14ac:dyDescent="0.25">
      <c r="A52" s="81">
        <v>2</v>
      </c>
      <c r="B52" s="109" t="s">
        <v>57</v>
      </c>
      <c r="C52" s="110"/>
      <c r="D52" s="110"/>
      <c r="E52" s="110"/>
      <c r="F52" s="110"/>
      <c r="G52" s="110"/>
      <c r="H52" s="110"/>
      <c r="I52" s="111"/>
      <c r="J52" s="56">
        <v>4566.29</v>
      </c>
    </row>
    <row r="53" spans="1:10" ht="25.5" customHeight="1" x14ac:dyDescent="0.25">
      <c r="A53" s="60">
        <v>3</v>
      </c>
      <c r="B53" s="109" t="s">
        <v>19</v>
      </c>
      <c r="C53" s="110"/>
      <c r="D53" s="110"/>
      <c r="E53" s="110"/>
      <c r="F53" s="110"/>
      <c r="G53" s="110"/>
      <c r="H53" s="110"/>
      <c r="I53" s="111"/>
      <c r="J53" s="56">
        <v>472233.85</v>
      </c>
    </row>
    <row r="54" spans="1:10" ht="25.5" customHeight="1" x14ac:dyDescent="0.25">
      <c r="A54" s="60">
        <v>4</v>
      </c>
      <c r="B54" s="109" t="s">
        <v>58</v>
      </c>
      <c r="C54" s="110"/>
      <c r="D54" s="110"/>
      <c r="E54" s="110"/>
      <c r="F54" s="110"/>
      <c r="G54" s="110"/>
      <c r="H54" s="110"/>
      <c r="I54" s="111"/>
      <c r="J54" s="56">
        <v>1320</v>
      </c>
    </row>
    <row r="55" spans="1:10" ht="25.5" customHeight="1" x14ac:dyDescent="0.25">
      <c r="A55" s="60">
        <v>5</v>
      </c>
      <c r="B55" s="109" t="s">
        <v>13</v>
      </c>
      <c r="C55" s="110"/>
      <c r="D55" s="110"/>
      <c r="E55" s="110"/>
      <c r="F55" s="110"/>
      <c r="G55" s="110"/>
      <c r="H55" s="110"/>
      <c r="I55" s="111"/>
      <c r="J55" s="56">
        <v>2620.8000000000002</v>
      </c>
    </row>
    <row r="56" spans="1:10" ht="25.5" customHeight="1" x14ac:dyDescent="0.25">
      <c r="A56" s="60">
        <v>6</v>
      </c>
      <c r="B56" s="109" t="s">
        <v>7</v>
      </c>
      <c r="C56" s="110"/>
      <c r="D56" s="110"/>
      <c r="E56" s="110"/>
      <c r="F56" s="110"/>
      <c r="G56" s="110"/>
      <c r="H56" s="110"/>
      <c r="I56" s="111"/>
      <c r="J56" s="55">
        <v>5856.35</v>
      </c>
    </row>
    <row r="57" spans="1:10" ht="25.5" customHeight="1" x14ac:dyDescent="0.25">
      <c r="A57" s="159" t="s">
        <v>70</v>
      </c>
      <c r="B57" s="160"/>
      <c r="C57" s="160"/>
      <c r="D57" s="160"/>
      <c r="E57" s="160"/>
      <c r="F57" s="160"/>
      <c r="G57" s="160"/>
      <c r="H57" s="160"/>
      <c r="I57" s="161"/>
      <c r="J57" s="69">
        <f>SUM(J58:J63)</f>
        <v>492932.38</v>
      </c>
    </row>
    <row r="58" spans="1:10" ht="25.5" customHeight="1" x14ac:dyDescent="0.25">
      <c r="A58" s="63">
        <v>1</v>
      </c>
      <c r="B58" s="109" t="s">
        <v>20</v>
      </c>
      <c r="C58" s="110"/>
      <c r="D58" s="110"/>
      <c r="E58" s="110"/>
      <c r="F58" s="110"/>
      <c r="G58" s="110"/>
      <c r="H58" s="110"/>
      <c r="I58" s="111"/>
      <c r="J58" s="56">
        <v>2055.46</v>
      </c>
    </row>
    <row r="59" spans="1:10" ht="25.5" customHeight="1" x14ac:dyDescent="0.25">
      <c r="A59" s="81">
        <v>2</v>
      </c>
      <c r="B59" s="109" t="s">
        <v>57</v>
      </c>
      <c r="C59" s="110"/>
      <c r="D59" s="110"/>
      <c r="E59" s="110"/>
      <c r="F59" s="110"/>
      <c r="G59" s="110"/>
      <c r="H59" s="110"/>
      <c r="I59" s="111"/>
      <c r="J59" s="74">
        <v>4460.6400000000003</v>
      </c>
    </row>
    <row r="60" spans="1:10" ht="25.5" customHeight="1" x14ac:dyDescent="0.25">
      <c r="A60" s="60">
        <v>3</v>
      </c>
      <c r="B60" s="109" t="s">
        <v>19</v>
      </c>
      <c r="C60" s="110"/>
      <c r="D60" s="110"/>
      <c r="E60" s="110"/>
      <c r="F60" s="110"/>
      <c r="G60" s="110"/>
      <c r="H60" s="110"/>
      <c r="I60" s="111"/>
      <c r="J60" s="74">
        <v>476517.53</v>
      </c>
    </row>
    <row r="61" spans="1:10" ht="25.5" customHeight="1" x14ac:dyDescent="0.25">
      <c r="A61" s="60">
        <v>4</v>
      </c>
      <c r="B61" s="109" t="s">
        <v>58</v>
      </c>
      <c r="C61" s="110"/>
      <c r="D61" s="110"/>
      <c r="E61" s="110"/>
      <c r="F61" s="110"/>
      <c r="G61" s="110"/>
      <c r="H61" s="110"/>
      <c r="I61" s="111"/>
      <c r="J61" s="74">
        <v>1320</v>
      </c>
    </row>
    <row r="62" spans="1:10" ht="25.5" customHeight="1" x14ac:dyDescent="0.25">
      <c r="A62" s="60">
        <v>5</v>
      </c>
      <c r="B62" s="109" t="s">
        <v>13</v>
      </c>
      <c r="C62" s="110"/>
      <c r="D62" s="110"/>
      <c r="E62" s="110"/>
      <c r="F62" s="110"/>
      <c r="G62" s="110"/>
      <c r="H62" s="110"/>
      <c r="I62" s="111"/>
      <c r="J62" s="74">
        <v>2620.8000000000002</v>
      </c>
    </row>
    <row r="63" spans="1:10" ht="25.5" customHeight="1" x14ac:dyDescent="0.25">
      <c r="A63" s="82">
        <v>6</v>
      </c>
      <c r="B63" s="177" t="s">
        <v>7</v>
      </c>
      <c r="C63" s="177"/>
      <c r="D63" s="177"/>
      <c r="E63" s="177"/>
      <c r="F63" s="177"/>
      <c r="G63" s="177"/>
      <c r="H63" s="177"/>
      <c r="I63" s="177"/>
      <c r="J63" s="74">
        <v>5957.95</v>
      </c>
    </row>
    <row r="64" spans="1:10" ht="25.5" customHeight="1" x14ac:dyDescent="0.25">
      <c r="A64" s="159" t="s">
        <v>74</v>
      </c>
      <c r="B64" s="160"/>
      <c r="C64" s="160"/>
      <c r="D64" s="160"/>
      <c r="E64" s="160"/>
      <c r="F64" s="160"/>
      <c r="G64" s="160"/>
      <c r="H64" s="160"/>
      <c r="I64" s="161"/>
      <c r="J64" s="62">
        <f>SUM(J65:J70)</f>
        <v>1507070.1800000002</v>
      </c>
    </row>
    <row r="65" spans="1:10" ht="25.5" customHeight="1" x14ac:dyDescent="0.25">
      <c r="A65" s="63">
        <v>1</v>
      </c>
      <c r="B65" s="109" t="s">
        <v>20</v>
      </c>
      <c r="C65" s="110"/>
      <c r="D65" s="110"/>
      <c r="E65" s="110"/>
      <c r="F65" s="110"/>
      <c r="G65" s="110"/>
      <c r="H65" s="110"/>
      <c r="I65" s="111"/>
      <c r="J65" s="56">
        <v>12960</v>
      </c>
    </row>
    <row r="66" spans="1:10" ht="25.5" customHeight="1" x14ac:dyDescent="0.25">
      <c r="A66" s="81">
        <v>2</v>
      </c>
      <c r="B66" s="109" t="s">
        <v>57</v>
      </c>
      <c r="C66" s="110"/>
      <c r="D66" s="110"/>
      <c r="E66" s="110"/>
      <c r="F66" s="110"/>
      <c r="G66" s="110"/>
      <c r="H66" s="110"/>
      <c r="I66" s="111"/>
      <c r="J66" s="56">
        <v>9132.58</v>
      </c>
    </row>
    <row r="67" spans="1:10" ht="25.5" customHeight="1" x14ac:dyDescent="0.25">
      <c r="A67" s="60">
        <v>3</v>
      </c>
      <c r="B67" s="109" t="s">
        <v>19</v>
      </c>
      <c r="C67" s="110"/>
      <c r="D67" s="110"/>
      <c r="E67" s="110"/>
      <c r="F67" s="110"/>
      <c r="G67" s="110"/>
      <c r="H67" s="110"/>
      <c r="I67" s="111"/>
      <c r="J67" s="55">
        <v>1464103.8</v>
      </c>
    </row>
    <row r="68" spans="1:10" ht="25.5" customHeight="1" x14ac:dyDescent="0.25">
      <c r="A68" s="60">
        <v>4</v>
      </c>
      <c r="B68" s="109" t="s">
        <v>58</v>
      </c>
      <c r="C68" s="110"/>
      <c r="D68" s="110"/>
      <c r="E68" s="110"/>
      <c r="F68" s="110"/>
      <c r="G68" s="110"/>
      <c r="H68" s="110"/>
      <c r="I68" s="111"/>
      <c r="J68" s="55">
        <v>2700</v>
      </c>
    </row>
    <row r="69" spans="1:10" ht="25.5" customHeight="1" x14ac:dyDescent="0.25">
      <c r="A69" s="60">
        <v>5</v>
      </c>
      <c r="B69" s="109" t="s">
        <v>13</v>
      </c>
      <c r="C69" s="110"/>
      <c r="D69" s="110"/>
      <c r="E69" s="110"/>
      <c r="F69" s="110"/>
      <c r="G69" s="110"/>
      <c r="H69" s="110"/>
      <c r="I69" s="111"/>
      <c r="J69" s="55"/>
    </row>
    <row r="70" spans="1:10" ht="25.5" customHeight="1" x14ac:dyDescent="0.25">
      <c r="A70" s="60">
        <v>6</v>
      </c>
      <c r="B70" s="109" t="s">
        <v>7</v>
      </c>
      <c r="C70" s="110"/>
      <c r="D70" s="110"/>
      <c r="E70" s="110"/>
      <c r="F70" s="110"/>
      <c r="G70" s="110"/>
      <c r="H70" s="110"/>
      <c r="I70" s="111"/>
      <c r="J70" s="55">
        <v>18173.8</v>
      </c>
    </row>
    <row r="71" spans="1:10" ht="25.5" customHeight="1" x14ac:dyDescent="0.25">
      <c r="A71" s="159" t="s">
        <v>75</v>
      </c>
      <c r="B71" s="160"/>
      <c r="C71" s="160"/>
      <c r="D71" s="160"/>
      <c r="E71" s="160"/>
      <c r="F71" s="160"/>
      <c r="G71" s="160"/>
      <c r="H71" s="160"/>
      <c r="I71" s="161"/>
      <c r="J71" s="62">
        <f>SUM(J72:J77)</f>
        <v>1458828.34</v>
      </c>
    </row>
    <row r="72" spans="1:10" ht="25.5" customHeight="1" x14ac:dyDescent="0.25">
      <c r="A72" s="63">
        <v>1</v>
      </c>
      <c r="B72" s="109" t="s">
        <v>20</v>
      </c>
      <c r="C72" s="110"/>
      <c r="D72" s="110"/>
      <c r="E72" s="110"/>
      <c r="F72" s="110"/>
      <c r="G72" s="110"/>
      <c r="H72" s="110"/>
      <c r="I72" s="111"/>
      <c r="J72" s="56">
        <v>12960</v>
      </c>
    </row>
    <row r="73" spans="1:10" ht="25.5" customHeight="1" x14ac:dyDescent="0.25">
      <c r="A73" s="81">
        <v>2</v>
      </c>
      <c r="B73" s="109" t="s">
        <v>57</v>
      </c>
      <c r="C73" s="110"/>
      <c r="D73" s="110"/>
      <c r="E73" s="110"/>
      <c r="F73" s="110"/>
      <c r="G73" s="110"/>
      <c r="H73" s="110"/>
      <c r="I73" s="111"/>
      <c r="J73" s="56">
        <v>8921.2800000000007</v>
      </c>
    </row>
    <row r="74" spans="1:10" ht="25.5" customHeight="1" x14ac:dyDescent="0.25">
      <c r="A74" s="60">
        <v>3</v>
      </c>
      <c r="B74" s="109" t="s">
        <v>19</v>
      </c>
      <c r="C74" s="110"/>
      <c r="D74" s="110"/>
      <c r="E74" s="110"/>
      <c r="F74" s="110"/>
      <c r="G74" s="110"/>
      <c r="H74" s="110"/>
      <c r="I74" s="111"/>
      <c r="J74" s="55">
        <v>1416654.96</v>
      </c>
    </row>
    <row r="75" spans="1:10" ht="25.5" customHeight="1" x14ac:dyDescent="0.25">
      <c r="A75" s="60">
        <v>4</v>
      </c>
      <c r="B75" s="109" t="s">
        <v>58</v>
      </c>
      <c r="C75" s="110"/>
      <c r="D75" s="110"/>
      <c r="E75" s="110"/>
      <c r="F75" s="110"/>
      <c r="G75" s="110"/>
      <c r="H75" s="110"/>
      <c r="I75" s="111"/>
      <c r="J75" s="55">
        <v>2700</v>
      </c>
    </row>
    <row r="76" spans="1:10" ht="25.5" customHeight="1" x14ac:dyDescent="0.25">
      <c r="A76" s="60">
        <v>5</v>
      </c>
      <c r="B76" s="109" t="s">
        <v>13</v>
      </c>
      <c r="C76" s="110"/>
      <c r="D76" s="110"/>
      <c r="E76" s="110"/>
      <c r="F76" s="110"/>
      <c r="G76" s="110"/>
      <c r="H76" s="110"/>
      <c r="I76" s="111"/>
      <c r="J76" s="55"/>
    </row>
    <row r="77" spans="1:10" ht="25.5" customHeight="1" x14ac:dyDescent="0.25">
      <c r="A77" s="60">
        <v>6</v>
      </c>
      <c r="B77" s="109" t="s">
        <v>7</v>
      </c>
      <c r="C77" s="110"/>
      <c r="D77" s="110"/>
      <c r="E77" s="110"/>
      <c r="F77" s="110"/>
      <c r="G77" s="110"/>
      <c r="H77" s="110"/>
      <c r="I77" s="111"/>
      <c r="J77" s="55">
        <v>17592.099999999999</v>
      </c>
    </row>
    <row r="78" spans="1:10" ht="25.5" customHeight="1" x14ac:dyDescent="0.25">
      <c r="A78" s="159" t="s">
        <v>76</v>
      </c>
      <c r="B78" s="160"/>
      <c r="C78" s="160"/>
      <c r="D78" s="160"/>
      <c r="E78" s="160"/>
      <c r="F78" s="160"/>
      <c r="G78" s="160"/>
      <c r="H78" s="160"/>
      <c r="I78" s="161"/>
      <c r="J78" s="62">
        <f>SUM(J79:J84)</f>
        <v>1458207.29</v>
      </c>
    </row>
    <row r="79" spans="1:10" ht="25.5" customHeight="1" x14ac:dyDescent="0.25">
      <c r="A79" s="63">
        <v>1</v>
      </c>
      <c r="B79" s="109" t="s">
        <v>20</v>
      </c>
      <c r="C79" s="110"/>
      <c r="D79" s="110"/>
      <c r="E79" s="110"/>
      <c r="F79" s="110"/>
      <c r="G79" s="110"/>
      <c r="H79" s="110"/>
      <c r="I79" s="111"/>
      <c r="J79" s="56">
        <v>12960</v>
      </c>
    </row>
    <row r="80" spans="1:10" ht="25.5" customHeight="1" x14ac:dyDescent="0.25">
      <c r="A80" s="81">
        <v>2</v>
      </c>
      <c r="B80" s="109" t="s">
        <v>57</v>
      </c>
      <c r="C80" s="110"/>
      <c r="D80" s="110"/>
      <c r="E80" s="110"/>
      <c r="F80" s="110"/>
      <c r="G80" s="110"/>
      <c r="H80" s="110"/>
      <c r="I80" s="111"/>
      <c r="J80" s="56">
        <v>8921.2800000000007</v>
      </c>
    </row>
    <row r="81" spans="1:12" ht="25.5" customHeight="1" x14ac:dyDescent="0.25">
      <c r="A81" s="60">
        <v>3</v>
      </c>
      <c r="B81" s="109" t="s">
        <v>19</v>
      </c>
      <c r="C81" s="110"/>
      <c r="D81" s="110"/>
      <c r="E81" s="110"/>
      <c r="F81" s="110"/>
      <c r="G81" s="110"/>
      <c r="H81" s="110"/>
      <c r="I81" s="111"/>
      <c r="J81" s="55">
        <v>1416041.16</v>
      </c>
    </row>
    <row r="82" spans="1:12" ht="25.5" customHeight="1" x14ac:dyDescent="0.25">
      <c r="A82" s="60">
        <v>4</v>
      </c>
      <c r="B82" s="109" t="s">
        <v>58</v>
      </c>
      <c r="C82" s="110"/>
      <c r="D82" s="110"/>
      <c r="E82" s="110"/>
      <c r="F82" s="110"/>
      <c r="G82" s="110"/>
      <c r="H82" s="110"/>
      <c r="I82" s="111"/>
      <c r="J82" s="55">
        <v>2700</v>
      </c>
    </row>
    <row r="83" spans="1:12" ht="25.5" customHeight="1" x14ac:dyDescent="0.25">
      <c r="A83" s="60">
        <v>5</v>
      </c>
      <c r="B83" s="109" t="s">
        <v>13</v>
      </c>
      <c r="C83" s="110"/>
      <c r="D83" s="110"/>
      <c r="E83" s="110"/>
      <c r="F83" s="110"/>
      <c r="G83" s="110"/>
      <c r="H83" s="110"/>
      <c r="I83" s="111"/>
      <c r="J83" s="55"/>
    </row>
    <row r="84" spans="1:12" ht="25.5" customHeight="1" x14ac:dyDescent="0.25">
      <c r="A84" s="60">
        <v>6</v>
      </c>
      <c r="B84" s="109" t="s">
        <v>7</v>
      </c>
      <c r="C84" s="110"/>
      <c r="D84" s="110"/>
      <c r="E84" s="110"/>
      <c r="F84" s="110"/>
      <c r="G84" s="110"/>
      <c r="H84" s="110"/>
      <c r="I84" s="111"/>
      <c r="J84" s="55">
        <v>17584.849999999999</v>
      </c>
    </row>
    <row r="85" spans="1:12" ht="25.5" customHeight="1" x14ac:dyDescent="0.25">
      <c r="A85" s="159" t="s">
        <v>79</v>
      </c>
      <c r="B85" s="160"/>
      <c r="C85" s="160"/>
      <c r="D85" s="160"/>
      <c r="E85" s="160"/>
      <c r="F85" s="160"/>
      <c r="G85" s="160"/>
      <c r="H85" s="160"/>
      <c r="I85" s="161"/>
      <c r="J85" s="62">
        <f>SUM(J86:J91)</f>
        <v>734811.51500000001</v>
      </c>
    </row>
    <row r="86" spans="1:12" ht="25.5" customHeight="1" x14ac:dyDescent="0.25">
      <c r="A86" s="63">
        <v>1</v>
      </c>
      <c r="B86" s="109" t="s">
        <v>20</v>
      </c>
      <c r="C86" s="110"/>
      <c r="D86" s="110"/>
      <c r="E86" s="110"/>
      <c r="F86" s="110"/>
      <c r="G86" s="110"/>
      <c r="H86" s="110"/>
      <c r="I86" s="111"/>
      <c r="J86" s="56">
        <v>8100</v>
      </c>
    </row>
    <row r="87" spans="1:12" ht="25.5" customHeight="1" x14ac:dyDescent="0.25">
      <c r="A87" s="81">
        <v>2</v>
      </c>
      <c r="B87" s="109" t="s">
        <v>57</v>
      </c>
      <c r="C87" s="110"/>
      <c r="D87" s="110"/>
      <c r="E87" s="110"/>
      <c r="F87" s="110"/>
      <c r="G87" s="110"/>
      <c r="H87" s="110"/>
      <c r="I87" s="111"/>
      <c r="J87" s="59">
        <f>8275.49/2</f>
        <v>4137.7449999999999</v>
      </c>
      <c r="L87" s="4"/>
    </row>
    <row r="88" spans="1:12" ht="25.5" customHeight="1" x14ac:dyDescent="0.25">
      <c r="A88" s="60">
        <v>3</v>
      </c>
      <c r="B88" s="109" t="s">
        <v>19</v>
      </c>
      <c r="C88" s="110"/>
      <c r="D88" s="110"/>
      <c r="E88" s="110"/>
      <c r="F88" s="110"/>
      <c r="G88" s="110"/>
      <c r="H88" s="110"/>
      <c r="I88" s="111"/>
      <c r="J88" s="55">
        <v>712380.47</v>
      </c>
    </row>
    <row r="89" spans="1:12" ht="25.5" customHeight="1" x14ac:dyDescent="0.25">
      <c r="A89" s="60">
        <v>4</v>
      </c>
      <c r="B89" s="109" t="s">
        <v>58</v>
      </c>
      <c r="C89" s="110"/>
      <c r="D89" s="110"/>
      <c r="E89" s="110"/>
      <c r="F89" s="110"/>
      <c r="G89" s="110"/>
      <c r="H89" s="110"/>
      <c r="I89" s="111"/>
      <c r="J89" s="55">
        <v>1350</v>
      </c>
    </row>
    <row r="90" spans="1:12" ht="25.5" customHeight="1" x14ac:dyDescent="0.25">
      <c r="A90" s="60">
        <v>5</v>
      </c>
      <c r="B90" s="109" t="s">
        <v>13</v>
      </c>
      <c r="C90" s="110"/>
      <c r="D90" s="110"/>
      <c r="E90" s="110"/>
      <c r="F90" s="110"/>
      <c r="G90" s="110"/>
      <c r="H90" s="110"/>
      <c r="I90" s="111"/>
      <c r="J90" s="55"/>
    </row>
    <row r="91" spans="1:12" ht="25.5" customHeight="1" x14ac:dyDescent="0.25">
      <c r="A91" s="60">
        <v>6</v>
      </c>
      <c r="B91" s="109" t="s">
        <v>7</v>
      </c>
      <c r="C91" s="110"/>
      <c r="D91" s="110"/>
      <c r="E91" s="110"/>
      <c r="F91" s="110"/>
      <c r="G91" s="110"/>
      <c r="H91" s="110"/>
      <c r="I91" s="111"/>
      <c r="J91" s="55">
        <v>8843.2999999999993</v>
      </c>
    </row>
    <row r="92" spans="1:12" ht="25.5" customHeight="1" x14ac:dyDescent="0.25">
      <c r="A92" s="159" t="s">
        <v>80</v>
      </c>
      <c r="B92" s="160"/>
      <c r="C92" s="160"/>
      <c r="D92" s="160"/>
      <c r="E92" s="160"/>
      <c r="F92" s="160"/>
      <c r="G92" s="160"/>
      <c r="H92" s="160"/>
      <c r="I92" s="161"/>
      <c r="J92" s="69">
        <f>SUM(J93:J98)</f>
        <v>1458279.61</v>
      </c>
    </row>
    <row r="93" spans="1:12" ht="25.5" customHeight="1" x14ac:dyDescent="0.25">
      <c r="A93" s="63">
        <v>1</v>
      </c>
      <c r="B93" s="109" t="s">
        <v>20</v>
      </c>
      <c r="C93" s="110"/>
      <c r="D93" s="110"/>
      <c r="E93" s="110"/>
      <c r="F93" s="110"/>
      <c r="G93" s="110"/>
      <c r="H93" s="110"/>
      <c r="I93" s="111"/>
      <c r="J93" s="56">
        <v>12960</v>
      </c>
    </row>
    <row r="94" spans="1:12" ht="25.5" customHeight="1" x14ac:dyDescent="0.25">
      <c r="A94" s="81">
        <v>2</v>
      </c>
      <c r="B94" s="109" t="s">
        <v>57</v>
      </c>
      <c r="C94" s="110"/>
      <c r="D94" s="110"/>
      <c r="E94" s="110"/>
      <c r="F94" s="110"/>
      <c r="G94" s="110"/>
      <c r="H94" s="110"/>
      <c r="I94" s="111"/>
      <c r="J94" s="74">
        <v>8275.49</v>
      </c>
    </row>
    <row r="95" spans="1:12" ht="25.5" customHeight="1" x14ac:dyDescent="0.25">
      <c r="A95" s="60">
        <v>3</v>
      </c>
      <c r="B95" s="109" t="s">
        <v>19</v>
      </c>
      <c r="C95" s="110"/>
      <c r="D95" s="110"/>
      <c r="E95" s="110"/>
      <c r="F95" s="110"/>
      <c r="G95" s="110"/>
      <c r="H95" s="110"/>
      <c r="I95" s="111"/>
      <c r="J95" s="74">
        <v>1416752.02</v>
      </c>
    </row>
    <row r="96" spans="1:12" ht="25.5" customHeight="1" x14ac:dyDescent="0.25">
      <c r="A96" s="60">
        <v>4</v>
      </c>
      <c r="B96" s="109" t="s">
        <v>58</v>
      </c>
      <c r="C96" s="110"/>
      <c r="D96" s="110"/>
      <c r="E96" s="110"/>
      <c r="F96" s="110"/>
      <c r="G96" s="110"/>
      <c r="H96" s="110"/>
      <c r="I96" s="111"/>
      <c r="J96" s="74">
        <v>2700</v>
      </c>
    </row>
    <row r="97" spans="1:10" ht="25.5" customHeight="1" x14ac:dyDescent="0.25">
      <c r="A97" s="60">
        <v>5</v>
      </c>
      <c r="B97" s="109" t="s">
        <v>13</v>
      </c>
      <c r="C97" s="110"/>
      <c r="D97" s="110"/>
      <c r="E97" s="110"/>
      <c r="F97" s="110"/>
      <c r="G97" s="110"/>
      <c r="H97" s="110"/>
      <c r="I97" s="111"/>
      <c r="J97" s="74"/>
    </row>
    <row r="98" spans="1:10" ht="25.5" customHeight="1" x14ac:dyDescent="0.25">
      <c r="A98" s="82">
        <v>6</v>
      </c>
      <c r="B98" s="177" t="s">
        <v>7</v>
      </c>
      <c r="C98" s="177"/>
      <c r="D98" s="177"/>
      <c r="E98" s="177"/>
      <c r="F98" s="177"/>
      <c r="G98" s="177"/>
      <c r="H98" s="177"/>
      <c r="I98" s="177"/>
      <c r="J98" s="74">
        <v>17592.099999999999</v>
      </c>
    </row>
    <row r="99" spans="1:10" ht="25.5" customHeight="1" x14ac:dyDescent="0.25">
      <c r="A99" s="159" t="s">
        <v>84</v>
      </c>
      <c r="B99" s="160"/>
      <c r="C99" s="160"/>
      <c r="D99" s="160"/>
      <c r="E99" s="160"/>
      <c r="F99" s="160"/>
      <c r="G99" s="160"/>
      <c r="H99" s="160"/>
      <c r="I99" s="161"/>
      <c r="J99" s="69">
        <f>SUM(J100:J105)</f>
        <v>725144.76</v>
      </c>
    </row>
    <row r="100" spans="1:10" ht="25.5" customHeight="1" x14ac:dyDescent="0.25">
      <c r="A100" s="63">
        <v>1</v>
      </c>
      <c r="B100" s="109" t="s">
        <v>20</v>
      </c>
      <c r="C100" s="110"/>
      <c r="D100" s="110"/>
      <c r="E100" s="110"/>
      <c r="F100" s="110"/>
      <c r="G100" s="110"/>
      <c r="H100" s="110"/>
      <c r="I100" s="111"/>
      <c r="J100" s="56">
        <v>8868</v>
      </c>
    </row>
    <row r="101" spans="1:10" ht="25.5" customHeight="1" x14ac:dyDescent="0.25">
      <c r="A101" s="81">
        <v>2</v>
      </c>
      <c r="B101" s="109" t="s">
        <v>57</v>
      </c>
      <c r="C101" s="110"/>
      <c r="D101" s="110"/>
      <c r="E101" s="110"/>
      <c r="F101" s="110"/>
      <c r="G101" s="110"/>
      <c r="H101" s="110"/>
      <c r="I101" s="111"/>
      <c r="J101" s="74">
        <v>4627.59</v>
      </c>
    </row>
    <row r="102" spans="1:10" ht="25.5" customHeight="1" x14ac:dyDescent="0.25">
      <c r="A102" s="60">
        <v>3</v>
      </c>
      <c r="B102" s="109" t="s">
        <v>19</v>
      </c>
      <c r="C102" s="110"/>
      <c r="D102" s="110"/>
      <c r="E102" s="110"/>
      <c r="F102" s="110"/>
      <c r="G102" s="110"/>
      <c r="H102" s="110"/>
      <c r="I102" s="111"/>
      <c r="J102" s="74">
        <v>701904.59</v>
      </c>
    </row>
    <row r="103" spans="1:10" ht="25.5" customHeight="1" x14ac:dyDescent="0.25">
      <c r="A103" s="60">
        <v>4</v>
      </c>
      <c r="B103" s="109" t="s">
        <v>58</v>
      </c>
      <c r="C103" s="110"/>
      <c r="D103" s="110"/>
      <c r="E103" s="110"/>
      <c r="F103" s="110"/>
      <c r="G103" s="110"/>
      <c r="H103" s="110"/>
      <c r="I103" s="111"/>
      <c r="J103" s="74">
        <v>1033.4000000000001</v>
      </c>
    </row>
    <row r="104" spans="1:10" ht="25.5" customHeight="1" x14ac:dyDescent="0.25">
      <c r="A104" s="60">
        <v>5</v>
      </c>
      <c r="B104" s="109" t="s">
        <v>13</v>
      </c>
      <c r="C104" s="110"/>
      <c r="D104" s="110"/>
      <c r="E104" s="110"/>
      <c r="F104" s="110"/>
      <c r="G104" s="110"/>
      <c r="H104" s="110"/>
      <c r="I104" s="111"/>
      <c r="J104" s="74"/>
    </row>
    <row r="105" spans="1:10" ht="25.5" customHeight="1" x14ac:dyDescent="0.25">
      <c r="A105" s="82">
        <v>6</v>
      </c>
      <c r="B105" s="177" t="s">
        <v>7</v>
      </c>
      <c r="C105" s="177"/>
      <c r="D105" s="177"/>
      <c r="E105" s="177"/>
      <c r="F105" s="177"/>
      <c r="G105" s="177"/>
      <c r="H105" s="177"/>
      <c r="I105" s="177"/>
      <c r="J105" s="74">
        <v>8711.18</v>
      </c>
    </row>
    <row r="106" spans="1:10" ht="25.5" customHeight="1" x14ac:dyDescent="0.25">
      <c r="A106" s="159" t="s">
        <v>86</v>
      </c>
      <c r="B106" s="160"/>
      <c r="C106" s="160"/>
      <c r="D106" s="160"/>
      <c r="E106" s="160"/>
      <c r="F106" s="160"/>
      <c r="G106" s="160"/>
      <c r="H106" s="160"/>
      <c r="I106" s="161"/>
      <c r="J106" s="69">
        <f>SUM(J107:J112)</f>
        <v>728987.26000000013</v>
      </c>
    </row>
    <row r="107" spans="1:10" ht="25.5" customHeight="1" x14ac:dyDescent="0.25">
      <c r="A107" s="63">
        <v>1</v>
      </c>
      <c r="B107" s="109" t="s">
        <v>20</v>
      </c>
      <c r="C107" s="110"/>
      <c r="D107" s="110"/>
      <c r="E107" s="110"/>
      <c r="F107" s="110"/>
      <c r="G107" s="110"/>
      <c r="H107" s="110"/>
      <c r="I107" s="111"/>
      <c r="J107" s="56">
        <v>8868</v>
      </c>
    </row>
    <row r="108" spans="1:10" ht="25.5" customHeight="1" x14ac:dyDescent="0.25">
      <c r="A108" s="81">
        <v>2</v>
      </c>
      <c r="B108" s="109" t="s">
        <v>57</v>
      </c>
      <c r="C108" s="110"/>
      <c r="D108" s="110"/>
      <c r="E108" s="110"/>
      <c r="F108" s="110"/>
      <c r="G108" s="110"/>
      <c r="H108" s="110"/>
      <c r="I108" s="111"/>
      <c r="J108" s="74">
        <v>4566.2700000000004</v>
      </c>
    </row>
    <row r="109" spans="1:10" ht="25.5" customHeight="1" x14ac:dyDescent="0.25">
      <c r="A109" s="60">
        <v>3</v>
      </c>
      <c r="B109" s="109" t="s">
        <v>19</v>
      </c>
      <c r="C109" s="110"/>
      <c r="D109" s="110"/>
      <c r="E109" s="110"/>
      <c r="F109" s="110"/>
      <c r="G109" s="110"/>
      <c r="H109" s="110"/>
      <c r="I109" s="111"/>
      <c r="J109" s="74">
        <v>705920.54</v>
      </c>
    </row>
    <row r="110" spans="1:10" ht="25.5" customHeight="1" x14ac:dyDescent="0.25">
      <c r="A110" s="60">
        <v>4</v>
      </c>
      <c r="B110" s="109" t="s">
        <v>58</v>
      </c>
      <c r="C110" s="110"/>
      <c r="D110" s="110"/>
      <c r="E110" s="110"/>
      <c r="F110" s="110"/>
      <c r="G110" s="110"/>
      <c r="H110" s="110"/>
      <c r="I110" s="111"/>
      <c r="J110" s="74">
        <v>852.27</v>
      </c>
    </row>
    <row r="111" spans="1:10" ht="25.5" customHeight="1" x14ac:dyDescent="0.25">
      <c r="A111" s="60">
        <v>5</v>
      </c>
      <c r="B111" s="109" t="s">
        <v>13</v>
      </c>
      <c r="C111" s="110"/>
      <c r="D111" s="110"/>
      <c r="E111" s="110"/>
      <c r="F111" s="110"/>
      <c r="G111" s="110"/>
      <c r="H111" s="110"/>
      <c r="I111" s="111"/>
      <c r="J111" s="74"/>
    </row>
    <row r="112" spans="1:10" ht="25.5" customHeight="1" x14ac:dyDescent="0.25">
      <c r="A112" s="82">
        <v>6</v>
      </c>
      <c r="B112" s="177" t="s">
        <v>7</v>
      </c>
      <c r="C112" s="177"/>
      <c r="D112" s="177"/>
      <c r="E112" s="177"/>
      <c r="F112" s="177"/>
      <c r="G112" s="177"/>
      <c r="H112" s="177"/>
      <c r="I112" s="177"/>
      <c r="J112" s="74">
        <v>8780.18</v>
      </c>
    </row>
    <row r="113" spans="1:10" ht="25.5" customHeight="1" x14ac:dyDescent="0.25">
      <c r="A113" s="159" t="s">
        <v>93</v>
      </c>
      <c r="B113" s="160"/>
      <c r="C113" s="160"/>
      <c r="D113" s="160"/>
      <c r="E113" s="160"/>
      <c r="F113" s="160"/>
      <c r="G113" s="160"/>
      <c r="H113" s="160"/>
      <c r="I113" s="161"/>
      <c r="J113" s="69">
        <f>SUM(J114:J119)</f>
        <v>1441840.1400000001</v>
      </c>
    </row>
    <row r="114" spans="1:10" ht="25.5" customHeight="1" x14ac:dyDescent="0.25">
      <c r="A114" s="63">
        <v>1</v>
      </c>
      <c r="B114" s="109" t="s">
        <v>20</v>
      </c>
      <c r="C114" s="110"/>
      <c r="D114" s="110"/>
      <c r="E114" s="110"/>
      <c r="F114" s="110"/>
      <c r="G114" s="110"/>
      <c r="H114" s="110"/>
      <c r="I114" s="111"/>
      <c r="J114" s="56">
        <v>13728</v>
      </c>
    </row>
    <row r="115" spans="1:10" ht="25.5" customHeight="1" x14ac:dyDescent="0.25">
      <c r="A115" s="81">
        <v>2</v>
      </c>
      <c r="B115" s="109" t="s">
        <v>57</v>
      </c>
      <c r="C115" s="110"/>
      <c r="D115" s="110"/>
      <c r="E115" s="110"/>
      <c r="F115" s="110"/>
      <c r="G115" s="110"/>
      <c r="H115" s="110"/>
      <c r="I115" s="111"/>
      <c r="J115" s="74">
        <v>9255.18</v>
      </c>
    </row>
    <row r="116" spans="1:10" ht="25.5" customHeight="1" x14ac:dyDescent="0.25">
      <c r="A116" s="60">
        <v>3</v>
      </c>
      <c r="B116" s="109" t="s">
        <v>19</v>
      </c>
      <c r="C116" s="110"/>
      <c r="D116" s="110"/>
      <c r="E116" s="110"/>
      <c r="F116" s="110"/>
      <c r="G116" s="110"/>
      <c r="H116" s="110"/>
      <c r="I116" s="111"/>
      <c r="J116" s="74">
        <v>1399350.83</v>
      </c>
    </row>
    <row r="117" spans="1:10" ht="25.5" customHeight="1" x14ac:dyDescent="0.25">
      <c r="A117" s="60">
        <v>4</v>
      </c>
      <c r="B117" s="109" t="s">
        <v>58</v>
      </c>
      <c r="C117" s="110"/>
      <c r="D117" s="110"/>
      <c r="E117" s="110"/>
      <c r="F117" s="110"/>
      <c r="G117" s="110"/>
      <c r="H117" s="110"/>
      <c r="I117" s="111"/>
      <c r="J117" s="74">
        <v>2066.8000000000002</v>
      </c>
    </row>
    <row r="118" spans="1:10" ht="25.5" customHeight="1" x14ac:dyDescent="0.25">
      <c r="A118" s="60">
        <v>5</v>
      </c>
      <c r="B118" s="109" t="s">
        <v>13</v>
      </c>
      <c r="C118" s="110"/>
      <c r="D118" s="110"/>
      <c r="E118" s="110"/>
      <c r="F118" s="110"/>
      <c r="G118" s="110"/>
      <c r="H118" s="110"/>
      <c r="I118" s="111"/>
      <c r="J118" s="74"/>
    </row>
    <row r="119" spans="1:10" ht="25.5" customHeight="1" x14ac:dyDescent="0.25">
      <c r="A119" s="82">
        <v>6</v>
      </c>
      <c r="B119" s="177" t="s">
        <v>7</v>
      </c>
      <c r="C119" s="177"/>
      <c r="D119" s="177"/>
      <c r="E119" s="177"/>
      <c r="F119" s="177"/>
      <c r="G119" s="177"/>
      <c r="H119" s="177"/>
      <c r="I119" s="177"/>
      <c r="J119" s="74">
        <v>17439.330000000002</v>
      </c>
    </row>
    <row r="120" spans="1:10" ht="25.5" customHeight="1" x14ac:dyDescent="0.25">
      <c r="A120" s="159" t="s">
        <v>94</v>
      </c>
      <c r="B120" s="160"/>
      <c r="C120" s="160"/>
      <c r="D120" s="160"/>
      <c r="E120" s="160"/>
      <c r="F120" s="160"/>
      <c r="G120" s="160"/>
      <c r="H120" s="160"/>
      <c r="I120" s="161"/>
      <c r="J120" s="69">
        <f>SUM(J121:J126)</f>
        <v>1441100.3900000001</v>
      </c>
    </row>
    <row r="121" spans="1:10" ht="25.5" customHeight="1" x14ac:dyDescent="0.25">
      <c r="A121" s="63">
        <v>1</v>
      </c>
      <c r="B121" s="109" t="s">
        <v>20</v>
      </c>
      <c r="C121" s="110"/>
      <c r="D121" s="110"/>
      <c r="E121" s="110"/>
      <c r="F121" s="110"/>
      <c r="G121" s="110"/>
      <c r="H121" s="110"/>
      <c r="I121" s="111"/>
      <c r="J121" s="56">
        <v>13728</v>
      </c>
    </row>
    <row r="122" spans="1:10" ht="25.5" customHeight="1" x14ac:dyDescent="0.25">
      <c r="A122" s="81">
        <v>2</v>
      </c>
      <c r="B122" s="109" t="s">
        <v>57</v>
      </c>
      <c r="C122" s="110"/>
      <c r="D122" s="110"/>
      <c r="E122" s="110"/>
      <c r="F122" s="110"/>
      <c r="G122" s="110"/>
      <c r="H122" s="110"/>
      <c r="I122" s="111"/>
      <c r="J122" s="74">
        <v>9132.5400000000009</v>
      </c>
    </row>
    <row r="123" spans="1:10" ht="25.5" customHeight="1" x14ac:dyDescent="0.25">
      <c r="A123" s="60">
        <v>3</v>
      </c>
      <c r="B123" s="109" t="s">
        <v>19</v>
      </c>
      <c r="C123" s="110"/>
      <c r="D123" s="110"/>
      <c r="E123" s="110"/>
      <c r="F123" s="110"/>
      <c r="G123" s="110"/>
      <c r="H123" s="110"/>
      <c r="I123" s="111"/>
      <c r="J123" s="74">
        <v>1399049.11</v>
      </c>
    </row>
    <row r="124" spans="1:10" ht="25.5" customHeight="1" x14ac:dyDescent="0.25">
      <c r="A124" s="60">
        <v>4</v>
      </c>
      <c r="B124" s="109" t="s">
        <v>58</v>
      </c>
      <c r="C124" s="110"/>
      <c r="D124" s="110"/>
      <c r="E124" s="110"/>
      <c r="F124" s="110"/>
      <c r="G124" s="110"/>
      <c r="H124" s="110"/>
      <c r="I124" s="111"/>
      <c r="J124" s="74">
        <v>1704.54</v>
      </c>
    </row>
    <row r="125" spans="1:10" ht="25.5" customHeight="1" x14ac:dyDescent="0.25">
      <c r="A125" s="60">
        <v>5</v>
      </c>
      <c r="B125" s="109" t="s">
        <v>13</v>
      </c>
      <c r="C125" s="110"/>
      <c r="D125" s="110"/>
      <c r="E125" s="110"/>
      <c r="F125" s="110"/>
      <c r="G125" s="110"/>
      <c r="H125" s="110"/>
      <c r="I125" s="111"/>
      <c r="J125" s="74"/>
    </row>
    <row r="126" spans="1:10" ht="25.5" customHeight="1" x14ac:dyDescent="0.25">
      <c r="A126" s="82">
        <v>6</v>
      </c>
      <c r="B126" s="177" t="s">
        <v>7</v>
      </c>
      <c r="C126" s="177"/>
      <c r="D126" s="177"/>
      <c r="E126" s="177"/>
      <c r="F126" s="177"/>
      <c r="G126" s="177"/>
      <c r="H126" s="177"/>
      <c r="I126" s="177"/>
      <c r="J126" s="74">
        <v>17486.2</v>
      </c>
    </row>
    <row r="127" spans="1:10" ht="25.5" customHeight="1" x14ac:dyDescent="0.25">
      <c r="A127" s="159" t="s">
        <v>95</v>
      </c>
      <c r="B127" s="160"/>
      <c r="C127" s="160"/>
      <c r="D127" s="160"/>
      <c r="E127" s="160"/>
      <c r="F127" s="160"/>
      <c r="G127" s="160"/>
      <c r="H127" s="160"/>
      <c r="I127" s="161"/>
      <c r="J127" s="69">
        <f>SUM(J128:J133)</f>
        <v>723262.07</v>
      </c>
    </row>
    <row r="128" spans="1:10" ht="25.5" customHeight="1" x14ac:dyDescent="0.25">
      <c r="A128" s="63">
        <v>1</v>
      </c>
      <c r="B128" s="109" t="s">
        <v>20</v>
      </c>
      <c r="C128" s="110"/>
      <c r="D128" s="110"/>
      <c r="E128" s="110"/>
      <c r="F128" s="110"/>
      <c r="G128" s="110"/>
      <c r="H128" s="110"/>
      <c r="I128" s="111"/>
      <c r="J128" s="56">
        <v>8868</v>
      </c>
    </row>
    <row r="129" spans="1:10" ht="25.5" customHeight="1" x14ac:dyDescent="0.25">
      <c r="A129" s="81">
        <v>2</v>
      </c>
      <c r="B129" s="109" t="s">
        <v>57</v>
      </c>
      <c r="C129" s="110"/>
      <c r="D129" s="110"/>
      <c r="E129" s="110"/>
      <c r="F129" s="110"/>
      <c r="G129" s="110"/>
      <c r="H129" s="110"/>
      <c r="I129" s="111"/>
      <c r="J129" s="74">
        <v>4566.2700000000004</v>
      </c>
    </row>
    <row r="130" spans="1:10" ht="25.5" customHeight="1" x14ac:dyDescent="0.25">
      <c r="A130" s="60">
        <v>3</v>
      </c>
      <c r="B130" s="109" t="s">
        <v>19</v>
      </c>
      <c r="C130" s="110"/>
      <c r="D130" s="110"/>
      <c r="E130" s="110"/>
      <c r="F130" s="110"/>
      <c r="G130" s="110"/>
      <c r="H130" s="110"/>
      <c r="I130" s="111"/>
      <c r="J130" s="74">
        <v>700222.44</v>
      </c>
    </row>
    <row r="131" spans="1:10" ht="25.5" customHeight="1" x14ac:dyDescent="0.25">
      <c r="A131" s="60">
        <v>4</v>
      </c>
      <c r="B131" s="109" t="s">
        <v>58</v>
      </c>
      <c r="C131" s="110"/>
      <c r="D131" s="110"/>
      <c r="E131" s="110"/>
      <c r="F131" s="110"/>
      <c r="G131" s="110"/>
      <c r="H131" s="110"/>
      <c r="I131" s="111"/>
      <c r="J131" s="74">
        <v>852.27</v>
      </c>
    </row>
    <row r="132" spans="1:10" ht="25.5" customHeight="1" x14ac:dyDescent="0.25">
      <c r="A132" s="60">
        <v>5</v>
      </c>
      <c r="B132" s="109" t="s">
        <v>13</v>
      </c>
      <c r="C132" s="110"/>
      <c r="D132" s="110"/>
      <c r="E132" s="110"/>
      <c r="F132" s="110"/>
      <c r="G132" s="110"/>
      <c r="H132" s="110"/>
      <c r="I132" s="111"/>
      <c r="J132" s="74"/>
    </row>
    <row r="133" spans="1:10" ht="25.5" customHeight="1" x14ac:dyDescent="0.25">
      <c r="A133" s="82">
        <v>6</v>
      </c>
      <c r="B133" s="177" t="s">
        <v>7</v>
      </c>
      <c r="C133" s="177"/>
      <c r="D133" s="177"/>
      <c r="E133" s="177"/>
      <c r="F133" s="177"/>
      <c r="G133" s="177"/>
      <c r="H133" s="177"/>
      <c r="I133" s="177"/>
      <c r="J133" s="74">
        <v>8753.09</v>
      </c>
    </row>
    <row r="134" spans="1:10" ht="25.5" customHeight="1" x14ac:dyDescent="0.25">
      <c r="A134" s="159" t="s">
        <v>96</v>
      </c>
      <c r="B134" s="160"/>
      <c r="C134" s="160"/>
      <c r="D134" s="160"/>
      <c r="E134" s="160"/>
      <c r="F134" s="160"/>
      <c r="G134" s="160"/>
      <c r="H134" s="160"/>
      <c r="I134" s="161"/>
      <c r="J134" s="69">
        <f>SUM(J135:J140)</f>
        <v>1441698.05</v>
      </c>
    </row>
    <row r="135" spans="1:10" ht="25.5" customHeight="1" x14ac:dyDescent="0.25">
      <c r="A135" s="63">
        <v>1</v>
      </c>
      <c r="B135" s="109" t="s">
        <v>20</v>
      </c>
      <c r="C135" s="110"/>
      <c r="D135" s="110"/>
      <c r="E135" s="110"/>
      <c r="F135" s="110"/>
      <c r="G135" s="110"/>
      <c r="H135" s="110"/>
      <c r="I135" s="111"/>
      <c r="J135" s="56">
        <v>13728</v>
      </c>
    </row>
    <row r="136" spans="1:10" ht="25.5" customHeight="1" x14ac:dyDescent="0.25">
      <c r="A136" s="81">
        <v>2</v>
      </c>
      <c r="B136" s="109" t="s">
        <v>57</v>
      </c>
      <c r="C136" s="110"/>
      <c r="D136" s="110"/>
      <c r="E136" s="110"/>
      <c r="F136" s="110"/>
      <c r="G136" s="110"/>
      <c r="H136" s="110"/>
      <c r="I136" s="111"/>
      <c r="J136" s="74">
        <v>9132.5400000000009</v>
      </c>
    </row>
    <row r="137" spans="1:10" ht="25.5" customHeight="1" x14ac:dyDescent="0.25">
      <c r="A137" s="60">
        <v>3</v>
      </c>
      <c r="B137" s="109" t="s">
        <v>19</v>
      </c>
      <c r="C137" s="110"/>
      <c r="D137" s="110"/>
      <c r="E137" s="110"/>
      <c r="F137" s="110"/>
      <c r="G137" s="110"/>
      <c r="H137" s="110"/>
      <c r="I137" s="111"/>
      <c r="J137" s="74">
        <v>1399640.57</v>
      </c>
    </row>
    <row r="138" spans="1:10" ht="25.5" customHeight="1" x14ac:dyDescent="0.25">
      <c r="A138" s="60">
        <v>4</v>
      </c>
      <c r="B138" s="109" t="s">
        <v>58</v>
      </c>
      <c r="C138" s="110"/>
      <c r="D138" s="110"/>
      <c r="E138" s="110"/>
      <c r="F138" s="110"/>
      <c r="G138" s="110"/>
      <c r="H138" s="110"/>
      <c r="I138" s="111"/>
      <c r="J138" s="74">
        <v>1704.54</v>
      </c>
    </row>
    <row r="139" spans="1:10" ht="25.5" customHeight="1" x14ac:dyDescent="0.25">
      <c r="A139" s="60">
        <v>5</v>
      </c>
      <c r="B139" s="109" t="s">
        <v>13</v>
      </c>
      <c r="C139" s="110"/>
      <c r="D139" s="110"/>
      <c r="E139" s="110"/>
      <c r="F139" s="110"/>
      <c r="G139" s="110"/>
      <c r="H139" s="110"/>
      <c r="I139" s="111"/>
      <c r="J139" s="74"/>
    </row>
    <row r="140" spans="1:10" ht="25.5" customHeight="1" x14ac:dyDescent="0.25">
      <c r="A140" s="82">
        <v>6</v>
      </c>
      <c r="B140" s="177" t="s">
        <v>7</v>
      </c>
      <c r="C140" s="177"/>
      <c r="D140" s="177"/>
      <c r="E140" s="177"/>
      <c r="F140" s="177"/>
      <c r="G140" s="177"/>
      <c r="H140" s="177"/>
      <c r="I140" s="177"/>
      <c r="J140" s="74">
        <v>17492.400000000001</v>
      </c>
    </row>
    <row r="141" spans="1:10" ht="25.5" customHeight="1" x14ac:dyDescent="0.25">
      <c r="A141" s="159" t="s">
        <v>98</v>
      </c>
      <c r="B141" s="160"/>
      <c r="C141" s="160"/>
      <c r="D141" s="160"/>
      <c r="E141" s="160"/>
      <c r="F141" s="160"/>
      <c r="G141" s="160"/>
      <c r="H141" s="160"/>
      <c r="I141" s="161"/>
      <c r="J141" s="67">
        <f>SUM(J142:J147)</f>
        <v>1453201.54</v>
      </c>
    </row>
    <row r="142" spans="1:10" ht="25.5" customHeight="1" x14ac:dyDescent="0.25">
      <c r="A142" s="63">
        <v>1</v>
      </c>
      <c r="B142" s="109" t="s">
        <v>20</v>
      </c>
      <c r="C142" s="110"/>
      <c r="D142" s="110"/>
      <c r="E142" s="110"/>
      <c r="F142" s="110"/>
      <c r="G142" s="110"/>
      <c r="H142" s="110"/>
      <c r="I142" s="111"/>
      <c r="J142" s="56">
        <v>12960</v>
      </c>
    </row>
    <row r="143" spans="1:10" ht="25.5" customHeight="1" x14ac:dyDescent="0.25">
      <c r="A143" s="81">
        <v>2</v>
      </c>
      <c r="B143" s="109" t="s">
        <v>57</v>
      </c>
      <c r="C143" s="110"/>
      <c r="D143" s="110"/>
      <c r="E143" s="110"/>
      <c r="F143" s="110"/>
      <c r="G143" s="110"/>
      <c r="H143" s="110"/>
      <c r="I143" s="111"/>
      <c r="J143" s="56">
        <v>9132.5400000000009</v>
      </c>
    </row>
    <row r="144" spans="1:10" ht="25.5" customHeight="1" x14ac:dyDescent="0.25">
      <c r="A144" s="60">
        <v>3</v>
      </c>
      <c r="B144" s="109" t="s">
        <v>19</v>
      </c>
      <c r="C144" s="110"/>
      <c r="D144" s="110"/>
      <c r="E144" s="110"/>
      <c r="F144" s="110"/>
      <c r="G144" s="110"/>
      <c r="H144" s="110"/>
      <c r="I144" s="111"/>
      <c r="J144" s="56">
        <v>1410750.87</v>
      </c>
    </row>
    <row r="145" spans="1:10" ht="25.5" customHeight="1" x14ac:dyDescent="0.25">
      <c r="A145" s="60">
        <v>4</v>
      </c>
      <c r="B145" s="109" t="s">
        <v>58</v>
      </c>
      <c r="C145" s="110"/>
      <c r="D145" s="110"/>
      <c r="E145" s="110"/>
      <c r="F145" s="110"/>
      <c r="G145" s="110"/>
      <c r="H145" s="110"/>
      <c r="I145" s="111"/>
      <c r="J145" s="56">
        <v>3000</v>
      </c>
    </row>
    <row r="146" spans="1:10" ht="25.5" customHeight="1" x14ac:dyDescent="0.25">
      <c r="A146" s="60">
        <v>5</v>
      </c>
      <c r="B146" s="109" t="s">
        <v>13</v>
      </c>
      <c r="C146" s="110"/>
      <c r="D146" s="110"/>
      <c r="E146" s="110"/>
      <c r="F146" s="110"/>
      <c r="G146" s="110"/>
      <c r="H146" s="110"/>
      <c r="I146" s="111"/>
      <c r="J146" s="56"/>
    </row>
    <row r="147" spans="1:10" ht="25.5" customHeight="1" x14ac:dyDescent="0.25">
      <c r="A147" s="60">
        <v>6</v>
      </c>
      <c r="B147" s="109" t="s">
        <v>7</v>
      </c>
      <c r="C147" s="110"/>
      <c r="D147" s="110"/>
      <c r="E147" s="110"/>
      <c r="F147" s="110"/>
      <c r="G147" s="110"/>
      <c r="H147" s="110"/>
      <c r="I147" s="111"/>
      <c r="J147" s="55">
        <v>17358.13</v>
      </c>
    </row>
    <row r="148" spans="1:10" ht="25.5" customHeight="1" x14ac:dyDescent="0.25">
      <c r="A148" s="159" t="s">
        <v>99</v>
      </c>
      <c r="B148" s="160"/>
      <c r="C148" s="160"/>
      <c r="D148" s="160"/>
      <c r="E148" s="160"/>
      <c r="F148" s="160"/>
      <c r="G148" s="160"/>
      <c r="H148" s="160"/>
      <c r="I148" s="161"/>
      <c r="J148" s="67">
        <f>SUM(J149:J154)</f>
        <v>1496789.68</v>
      </c>
    </row>
    <row r="149" spans="1:10" ht="25.5" customHeight="1" x14ac:dyDescent="0.25">
      <c r="A149" s="63">
        <v>1</v>
      </c>
      <c r="B149" s="109" t="s">
        <v>20</v>
      </c>
      <c r="C149" s="110"/>
      <c r="D149" s="110"/>
      <c r="E149" s="110"/>
      <c r="F149" s="110"/>
      <c r="G149" s="110"/>
      <c r="H149" s="110"/>
      <c r="I149" s="111"/>
      <c r="J149" s="56">
        <v>12960</v>
      </c>
    </row>
    <row r="150" spans="1:10" ht="25.5" customHeight="1" x14ac:dyDescent="0.25">
      <c r="A150" s="81">
        <v>2</v>
      </c>
      <c r="B150" s="109" t="s">
        <v>57</v>
      </c>
      <c r="C150" s="110"/>
      <c r="D150" s="110"/>
      <c r="E150" s="110"/>
      <c r="F150" s="110"/>
      <c r="G150" s="110"/>
      <c r="H150" s="110"/>
      <c r="I150" s="111"/>
      <c r="J150" s="56">
        <v>9132.5400000000009</v>
      </c>
    </row>
    <row r="151" spans="1:10" ht="25.5" customHeight="1" x14ac:dyDescent="0.25">
      <c r="A151" s="60">
        <v>3</v>
      </c>
      <c r="B151" s="109" t="s">
        <v>19</v>
      </c>
      <c r="C151" s="110"/>
      <c r="D151" s="110"/>
      <c r="E151" s="110"/>
      <c r="F151" s="110"/>
      <c r="G151" s="110"/>
      <c r="H151" s="110"/>
      <c r="I151" s="111"/>
      <c r="J151" s="56">
        <v>1453618.97</v>
      </c>
    </row>
    <row r="152" spans="1:10" ht="25.5" customHeight="1" x14ac:dyDescent="0.25">
      <c r="A152" s="60">
        <v>4</v>
      </c>
      <c r="B152" s="109" t="s">
        <v>58</v>
      </c>
      <c r="C152" s="110"/>
      <c r="D152" s="110"/>
      <c r="E152" s="110"/>
      <c r="F152" s="110"/>
      <c r="G152" s="110"/>
      <c r="H152" s="110"/>
      <c r="I152" s="111"/>
      <c r="J152" s="56">
        <v>3000</v>
      </c>
    </row>
    <row r="153" spans="1:10" ht="25.5" customHeight="1" x14ac:dyDescent="0.25">
      <c r="A153" s="60">
        <v>5</v>
      </c>
      <c r="B153" s="109" t="s">
        <v>13</v>
      </c>
      <c r="C153" s="110"/>
      <c r="D153" s="110"/>
      <c r="E153" s="110"/>
      <c r="F153" s="110"/>
      <c r="G153" s="110"/>
      <c r="H153" s="110"/>
      <c r="I153" s="111"/>
      <c r="J153" s="56"/>
    </row>
    <row r="154" spans="1:10" ht="25.5" customHeight="1" x14ac:dyDescent="0.25">
      <c r="A154" s="60">
        <v>6</v>
      </c>
      <c r="B154" s="109" t="s">
        <v>7</v>
      </c>
      <c r="C154" s="110"/>
      <c r="D154" s="110"/>
      <c r="E154" s="110"/>
      <c r="F154" s="110"/>
      <c r="G154" s="110"/>
      <c r="H154" s="110"/>
      <c r="I154" s="111"/>
      <c r="J154" s="55">
        <v>18078.169999999998</v>
      </c>
    </row>
    <row r="155" spans="1:10" ht="25.5" customHeight="1" x14ac:dyDescent="0.25">
      <c r="A155" s="159" t="s">
        <v>100</v>
      </c>
      <c r="B155" s="160"/>
      <c r="C155" s="160"/>
      <c r="D155" s="160"/>
      <c r="E155" s="160"/>
      <c r="F155" s="160"/>
      <c r="G155" s="160"/>
      <c r="H155" s="160"/>
      <c r="I155" s="161"/>
      <c r="J155" s="67">
        <f>SUM(J156:J161)</f>
        <v>727239.91</v>
      </c>
    </row>
    <row r="156" spans="1:10" ht="25.5" customHeight="1" x14ac:dyDescent="0.25">
      <c r="A156" s="63">
        <v>1</v>
      </c>
      <c r="B156" s="109" t="s">
        <v>20</v>
      </c>
      <c r="C156" s="110"/>
      <c r="D156" s="110"/>
      <c r="E156" s="110"/>
      <c r="F156" s="110"/>
      <c r="G156" s="110"/>
      <c r="H156" s="110"/>
      <c r="I156" s="111"/>
      <c r="J156" s="56">
        <v>8100</v>
      </c>
    </row>
    <row r="157" spans="1:10" ht="25.5" customHeight="1" x14ac:dyDescent="0.25">
      <c r="A157" s="81">
        <v>2</v>
      </c>
      <c r="B157" s="109" t="s">
        <v>57</v>
      </c>
      <c r="C157" s="110"/>
      <c r="D157" s="110"/>
      <c r="E157" s="110"/>
      <c r="F157" s="110"/>
      <c r="G157" s="110"/>
      <c r="H157" s="110"/>
      <c r="I157" s="111"/>
      <c r="J157" s="56">
        <v>4460.6400000000003</v>
      </c>
    </row>
    <row r="158" spans="1:10" ht="25.5" customHeight="1" x14ac:dyDescent="0.25">
      <c r="A158" s="60">
        <v>3</v>
      </c>
      <c r="B158" s="109" t="s">
        <v>19</v>
      </c>
      <c r="C158" s="110"/>
      <c r="D158" s="110"/>
      <c r="E158" s="110"/>
      <c r="F158" s="110"/>
      <c r="G158" s="110"/>
      <c r="H158" s="110"/>
      <c r="I158" s="111"/>
      <c r="J158" s="56">
        <v>704415.64</v>
      </c>
    </row>
    <row r="159" spans="1:10" ht="25.5" customHeight="1" x14ac:dyDescent="0.25">
      <c r="A159" s="60">
        <v>4</v>
      </c>
      <c r="B159" s="109" t="s">
        <v>58</v>
      </c>
      <c r="C159" s="110"/>
      <c r="D159" s="110"/>
      <c r="E159" s="110"/>
      <c r="F159" s="110"/>
      <c r="G159" s="110"/>
      <c r="H159" s="110"/>
      <c r="I159" s="111"/>
      <c r="J159" s="56">
        <v>1500</v>
      </c>
    </row>
    <row r="160" spans="1:10" ht="25.5" customHeight="1" x14ac:dyDescent="0.25">
      <c r="A160" s="60">
        <v>5</v>
      </c>
      <c r="B160" s="109" t="s">
        <v>13</v>
      </c>
      <c r="C160" s="110"/>
      <c r="D160" s="110"/>
      <c r="E160" s="110"/>
      <c r="F160" s="110"/>
      <c r="G160" s="110"/>
      <c r="H160" s="110"/>
      <c r="I160" s="111"/>
      <c r="J160" s="56"/>
    </row>
    <row r="161" spans="1:10" ht="25.5" customHeight="1" x14ac:dyDescent="0.25">
      <c r="A161" s="60">
        <v>6</v>
      </c>
      <c r="B161" s="109" t="s">
        <v>7</v>
      </c>
      <c r="C161" s="110"/>
      <c r="D161" s="110"/>
      <c r="E161" s="110"/>
      <c r="F161" s="110"/>
      <c r="G161" s="110"/>
      <c r="H161" s="110"/>
      <c r="I161" s="111"/>
      <c r="J161" s="55">
        <v>8763.6299999999992</v>
      </c>
    </row>
    <row r="162" spans="1:10" ht="25.5" customHeight="1" x14ac:dyDescent="0.25">
      <c r="A162" s="159" t="s">
        <v>101</v>
      </c>
      <c r="B162" s="160"/>
      <c r="C162" s="160"/>
      <c r="D162" s="160"/>
      <c r="E162" s="160"/>
      <c r="F162" s="160"/>
      <c r="G162" s="160"/>
      <c r="H162" s="160"/>
      <c r="I162" s="161"/>
      <c r="J162" s="67">
        <f>SUM(J163:J168)</f>
        <v>1453129.4000000001</v>
      </c>
    </row>
    <row r="163" spans="1:10" ht="42" customHeight="1" x14ac:dyDescent="0.25">
      <c r="A163" s="63">
        <v>1</v>
      </c>
      <c r="B163" s="109" t="s">
        <v>105</v>
      </c>
      <c r="C163" s="110"/>
      <c r="D163" s="110"/>
      <c r="E163" s="110"/>
      <c r="F163" s="110"/>
      <c r="G163" s="110"/>
      <c r="H163" s="110"/>
      <c r="I163" s="111"/>
      <c r="J163" s="56">
        <v>12960</v>
      </c>
    </row>
    <row r="164" spans="1:10" ht="25.5" customHeight="1" x14ac:dyDescent="0.25">
      <c r="A164" s="81">
        <v>2</v>
      </c>
      <c r="B164" s="109" t="s">
        <v>57</v>
      </c>
      <c r="C164" s="110"/>
      <c r="D164" s="110"/>
      <c r="E164" s="110"/>
      <c r="F164" s="110"/>
      <c r="G164" s="110"/>
      <c r="H164" s="110"/>
      <c r="I164" s="111"/>
      <c r="J164" s="56">
        <v>9132.5400000000009</v>
      </c>
    </row>
    <row r="165" spans="1:10" ht="25.5" customHeight="1" x14ac:dyDescent="0.25">
      <c r="A165" s="60">
        <v>3</v>
      </c>
      <c r="B165" s="109" t="s">
        <v>19</v>
      </c>
      <c r="C165" s="110"/>
      <c r="D165" s="110"/>
      <c r="E165" s="110"/>
      <c r="F165" s="110"/>
      <c r="G165" s="110"/>
      <c r="H165" s="110"/>
      <c r="I165" s="111"/>
      <c r="J165" s="56">
        <v>1411771.07</v>
      </c>
    </row>
    <row r="166" spans="1:10" ht="25.5" customHeight="1" x14ac:dyDescent="0.25">
      <c r="A166" s="60">
        <v>4</v>
      </c>
      <c r="B166" s="109" t="s">
        <v>58</v>
      </c>
      <c r="C166" s="110"/>
      <c r="D166" s="110"/>
      <c r="E166" s="110"/>
      <c r="F166" s="110"/>
      <c r="G166" s="110"/>
      <c r="H166" s="110"/>
      <c r="I166" s="111"/>
      <c r="J166" s="56">
        <v>1704.54</v>
      </c>
    </row>
    <row r="167" spans="1:10" ht="25.5" customHeight="1" x14ac:dyDescent="0.25">
      <c r="A167" s="60">
        <v>5</v>
      </c>
      <c r="B167" s="109" t="s">
        <v>13</v>
      </c>
      <c r="C167" s="110"/>
      <c r="D167" s="110"/>
      <c r="E167" s="110"/>
      <c r="F167" s="110"/>
      <c r="G167" s="110"/>
      <c r="H167" s="110"/>
      <c r="I167" s="111"/>
      <c r="J167" s="56"/>
    </row>
    <row r="168" spans="1:10" ht="25.5" customHeight="1" x14ac:dyDescent="0.25">
      <c r="A168" s="60">
        <v>6</v>
      </c>
      <c r="B168" s="109" t="s">
        <v>7</v>
      </c>
      <c r="C168" s="110"/>
      <c r="D168" s="110"/>
      <c r="E168" s="110"/>
      <c r="F168" s="110"/>
      <c r="G168" s="110"/>
      <c r="H168" s="110"/>
      <c r="I168" s="111"/>
      <c r="J168" s="55">
        <v>17561.25</v>
      </c>
    </row>
    <row r="169" spans="1:10" ht="25.5" customHeight="1" x14ac:dyDescent="0.25">
      <c r="A169" s="159" t="s">
        <v>106</v>
      </c>
      <c r="B169" s="160"/>
      <c r="C169" s="160"/>
      <c r="D169" s="160"/>
      <c r="E169" s="160"/>
      <c r="F169" s="160"/>
      <c r="G169" s="160"/>
      <c r="H169" s="160"/>
      <c r="I169" s="161"/>
      <c r="J169" s="67">
        <f>SUM(J170:J175)</f>
        <v>2161481.5699999998</v>
      </c>
    </row>
    <row r="170" spans="1:10" ht="30" customHeight="1" x14ac:dyDescent="0.25">
      <c r="A170" s="63">
        <v>1</v>
      </c>
      <c r="B170" s="109" t="s">
        <v>105</v>
      </c>
      <c r="C170" s="110"/>
      <c r="D170" s="110"/>
      <c r="E170" s="110"/>
      <c r="F170" s="110"/>
      <c r="G170" s="110"/>
      <c r="H170" s="110"/>
      <c r="I170" s="111"/>
      <c r="J170" s="56">
        <v>17820</v>
      </c>
    </row>
    <row r="171" spans="1:10" ht="25.5" customHeight="1" x14ac:dyDescent="0.25">
      <c r="A171" s="81">
        <v>2</v>
      </c>
      <c r="B171" s="109" t="s">
        <v>57</v>
      </c>
      <c r="C171" s="110"/>
      <c r="D171" s="110"/>
      <c r="E171" s="110"/>
      <c r="F171" s="110"/>
      <c r="G171" s="110"/>
      <c r="H171" s="110"/>
      <c r="I171" s="111"/>
      <c r="J171" s="56">
        <v>13381.28</v>
      </c>
    </row>
    <row r="172" spans="1:10" ht="25.5" customHeight="1" x14ac:dyDescent="0.25">
      <c r="A172" s="60">
        <v>3</v>
      </c>
      <c r="B172" s="109" t="s">
        <v>19</v>
      </c>
      <c r="C172" s="110"/>
      <c r="D172" s="110"/>
      <c r="E172" s="110"/>
      <c r="F172" s="110"/>
      <c r="G172" s="110"/>
      <c r="H172" s="110"/>
      <c r="I172" s="111"/>
      <c r="J172" s="56">
        <v>2101457.62</v>
      </c>
    </row>
    <row r="173" spans="1:10" ht="25.5" customHeight="1" x14ac:dyDescent="0.25">
      <c r="A173" s="60">
        <v>4</v>
      </c>
      <c r="B173" s="109" t="s">
        <v>58</v>
      </c>
      <c r="C173" s="110"/>
      <c r="D173" s="110"/>
      <c r="E173" s="110"/>
      <c r="F173" s="110"/>
      <c r="G173" s="110"/>
      <c r="H173" s="110"/>
      <c r="I173" s="111"/>
      <c r="J173" s="56">
        <v>2556.81</v>
      </c>
    </row>
    <row r="174" spans="1:10" ht="25.5" customHeight="1" x14ac:dyDescent="0.25">
      <c r="A174" s="60">
        <v>5</v>
      </c>
      <c r="B174" s="109" t="s">
        <v>13</v>
      </c>
      <c r="C174" s="110"/>
      <c r="D174" s="110"/>
      <c r="E174" s="110"/>
      <c r="F174" s="110"/>
      <c r="G174" s="110"/>
      <c r="H174" s="110"/>
      <c r="I174" s="111"/>
      <c r="J174" s="56"/>
    </row>
    <row r="175" spans="1:10" ht="25.5" customHeight="1" x14ac:dyDescent="0.25">
      <c r="A175" s="60">
        <v>6</v>
      </c>
      <c r="B175" s="109" t="s">
        <v>7</v>
      </c>
      <c r="C175" s="110"/>
      <c r="D175" s="110"/>
      <c r="E175" s="110"/>
      <c r="F175" s="110"/>
      <c r="G175" s="110"/>
      <c r="H175" s="110"/>
      <c r="I175" s="111"/>
      <c r="J175" s="55">
        <v>26265.86</v>
      </c>
    </row>
    <row r="176" spans="1:10" ht="25.5" customHeight="1" x14ac:dyDescent="0.25">
      <c r="A176" s="159" t="s">
        <v>107</v>
      </c>
      <c r="B176" s="160"/>
      <c r="C176" s="160"/>
      <c r="D176" s="160"/>
      <c r="E176" s="160"/>
      <c r="F176" s="160"/>
      <c r="G176" s="160"/>
      <c r="H176" s="160"/>
      <c r="I176" s="161"/>
      <c r="J176" s="67">
        <f>SUM(J177:J182)</f>
        <v>3598122.93</v>
      </c>
    </row>
    <row r="177" spans="1:10" ht="30.75" customHeight="1" x14ac:dyDescent="0.25">
      <c r="A177" s="63">
        <v>1</v>
      </c>
      <c r="B177" s="109" t="s">
        <v>105</v>
      </c>
      <c r="C177" s="110"/>
      <c r="D177" s="110"/>
      <c r="E177" s="110"/>
      <c r="F177" s="110"/>
      <c r="G177" s="110"/>
      <c r="H177" s="110"/>
      <c r="I177" s="111"/>
      <c r="J177" s="56">
        <v>27540</v>
      </c>
    </row>
    <row r="178" spans="1:10" ht="25.5" customHeight="1" x14ac:dyDescent="0.25">
      <c r="A178" s="81">
        <v>2</v>
      </c>
      <c r="B178" s="109" t="s">
        <v>57</v>
      </c>
      <c r="C178" s="110"/>
      <c r="D178" s="110"/>
      <c r="E178" s="110"/>
      <c r="F178" s="110"/>
      <c r="G178" s="110"/>
      <c r="H178" s="110"/>
      <c r="I178" s="111"/>
      <c r="J178" s="56">
        <v>22831.35</v>
      </c>
    </row>
    <row r="179" spans="1:10" ht="25.5" customHeight="1" x14ac:dyDescent="0.25">
      <c r="A179" s="60">
        <v>3</v>
      </c>
      <c r="B179" s="109" t="s">
        <v>19</v>
      </c>
      <c r="C179" s="110"/>
      <c r="D179" s="110"/>
      <c r="E179" s="110"/>
      <c r="F179" s="110"/>
      <c r="G179" s="110"/>
      <c r="H179" s="110"/>
      <c r="I179" s="111"/>
      <c r="J179" s="56">
        <v>3499742.81</v>
      </c>
    </row>
    <row r="180" spans="1:10" ht="25.5" customHeight="1" x14ac:dyDescent="0.25">
      <c r="A180" s="60">
        <v>4</v>
      </c>
      <c r="B180" s="109" t="s">
        <v>58</v>
      </c>
      <c r="C180" s="110"/>
      <c r="D180" s="110"/>
      <c r="E180" s="110"/>
      <c r="F180" s="110"/>
      <c r="G180" s="110"/>
      <c r="H180" s="110"/>
      <c r="I180" s="111"/>
      <c r="J180" s="56">
        <v>4261.3500000000004</v>
      </c>
    </row>
    <row r="181" spans="1:10" ht="25.5" customHeight="1" x14ac:dyDescent="0.25">
      <c r="A181" s="60">
        <v>5</v>
      </c>
      <c r="B181" s="109" t="s">
        <v>13</v>
      </c>
      <c r="C181" s="110"/>
      <c r="D181" s="110"/>
      <c r="E181" s="110"/>
      <c r="F181" s="110"/>
      <c r="G181" s="110"/>
      <c r="H181" s="110"/>
      <c r="I181" s="111"/>
      <c r="J181" s="56"/>
    </row>
    <row r="182" spans="1:10" ht="25.5" customHeight="1" x14ac:dyDescent="0.25">
      <c r="A182" s="60">
        <v>6</v>
      </c>
      <c r="B182" s="109" t="s">
        <v>7</v>
      </c>
      <c r="C182" s="110"/>
      <c r="D182" s="110"/>
      <c r="E182" s="110"/>
      <c r="F182" s="110"/>
      <c r="G182" s="110"/>
      <c r="H182" s="110"/>
      <c r="I182" s="111"/>
      <c r="J182" s="55">
        <v>43747.42</v>
      </c>
    </row>
    <row r="183" spans="1:10" ht="25.5" customHeight="1" x14ac:dyDescent="0.25">
      <c r="A183" s="159" t="s">
        <v>108</v>
      </c>
      <c r="B183" s="160"/>
      <c r="C183" s="160"/>
      <c r="D183" s="160"/>
      <c r="E183" s="160"/>
      <c r="F183" s="160"/>
      <c r="G183" s="160"/>
      <c r="H183" s="160"/>
      <c r="I183" s="161"/>
      <c r="J183" s="67">
        <f>SUM(J184:J189)</f>
        <v>727013.63000000012</v>
      </c>
    </row>
    <row r="184" spans="1:10" ht="35.25" customHeight="1" x14ac:dyDescent="0.25">
      <c r="A184" s="63">
        <v>1</v>
      </c>
      <c r="B184" s="109" t="s">
        <v>105</v>
      </c>
      <c r="C184" s="110"/>
      <c r="D184" s="110"/>
      <c r="E184" s="110"/>
      <c r="F184" s="110"/>
      <c r="G184" s="110"/>
      <c r="H184" s="110"/>
      <c r="I184" s="111"/>
      <c r="J184" s="56">
        <v>8100</v>
      </c>
    </row>
    <row r="185" spans="1:10" ht="25.5" customHeight="1" x14ac:dyDescent="0.25">
      <c r="A185" s="81">
        <v>2</v>
      </c>
      <c r="B185" s="109" t="s">
        <v>57</v>
      </c>
      <c r="C185" s="110"/>
      <c r="D185" s="110"/>
      <c r="E185" s="110"/>
      <c r="F185" s="110"/>
      <c r="G185" s="110"/>
      <c r="H185" s="110"/>
      <c r="I185" s="111"/>
      <c r="J185" s="56">
        <v>4566.2700000000004</v>
      </c>
    </row>
    <row r="186" spans="1:10" ht="25.5" customHeight="1" x14ac:dyDescent="0.25">
      <c r="A186" s="60">
        <v>3</v>
      </c>
      <c r="B186" s="109" t="s">
        <v>19</v>
      </c>
      <c r="C186" s="110"/>
      <c r="D186" s="110"/>
      <c r="E186" s="110"/>
      <c r="F186" s="110"/>
      <c r="G186" s="110"/>
      <c r="H186" s="110"/>
      <c r="I186" s="111"/>
      <c r="J186" s="56">
        <v>704726.04</v>
      </c>
    </row>
    <row r="187" spans="1:10" ht="25.5" customHeight="1" x14ac:dyDescent="0.25">
      <c r="A187" s="60">
        <v>4</v>
      </c>
      <c r="B187" s="109" t="s">
        <v>58</v>
      </c>
      <c r="C187" s="110"/>
      <c r="D187" s="110"/>
      <c r="E187" s="110"/>
      <c r="F187" s="110"/>
      <c r="G187" s="110"/>
      <c r="H187" s="110"/>
      <c r="I187" s="111"/>
      <c r="J187" s="56">
        <v>852.27</v>
      </c>
    </row>
    <row r="188" spans="1:10" ht="25.5" customHeight="1" x14ac:dyDescent="0.25">
      <c r="A188" s="60">
        <v>5</v>
      </c>
      <c r="B188" s="109" t="s">
        <v>13</v>
      </c>
      <c r="C188" s="110"/>
      <c r="D188" s="110"/>
      <c r="E188" s="110"/>
      <c r="F188" s="110"/>
      <c r="G188" s="110"/>
      <c r="H188" s="110"/>
      <c r="I188" s="111"/>
      <c r="J188" s="56"/>
    </row>
    <row r="189" spans="1:10" ht="25.5" customHeight="1" x14ac:dyDescent="0.25">
      <c r="A189" s="60">
        <v>6</v>
      </c>
      <c r="B189" s="109" t="s">
        <v>7</v>
      </c>
      <c r="C189" s="110"/>
      <c r="D189" s="110"/>
      <c r="E189" s="110"/>
      <c r="F189" s="110"/>
      <c r="G189" s="110"/>
      <c r="H189" s="110"/>
      <c r="I189" s="111"/>
      <c r="J189" s="83">
        <v>8769.0499999999993</v>
      </c>
    </row>
    <row r="190" spans="1:10" ht="25.5" customHeight="1" x14ac:dyDescent="0.25">
      <c r="A190" s="159" t="s">
        <v>112</v>
      </c>
      <c r="B190" s="160"/>
      <c r="C190" s="160"/>
      <c r="D190" s="160"/>
      <c r="E190" s="160"/>
      <c r="F190" s="160"/>
      <c r="G190" s="160"/>
      <c r="H190" s="160"/>
      <c r="I190" s="161"/>
      <c r="J190" s="67">
        <f>SUM(J191:J196)</f>
        <v>1514718.5699999998</v>
      </c>
    </row>
    <row r="191" spans="1:10" ht="33.75" customHeight="1" x14ac:dyDescent="0.25">
      <c r="A191" s="63">
        <v>1</v>
      </c>
      <c r="B191" s="109" t="s">
        <v>105</v>
      </c>
      <c r="C191" s="110"/>
      <c r="D191" s="110"/>
      <c r="E191" s="110"/>
      <c r="F191" s="110"/>
      <c r="G191" s="110"/>
      <c r="H191" s="110"/>
      <c r="I191" s="111"/>
      <c r="J191" s="56">
        <v>12960</v>
      </c>
    </row>
    <row r="192" spans="1:10" ht="25.5" customHeight="1" x14ac:dyDescent="0.25">
      <c r="A192" s="81">
        <v>2</v>
      </c>
      <c r="B192" s="109" t="s">
        <v>57</v>
      </c>
      <c r="C192" s="110"/>
      <c r="D192" s="110"/>
      <c r="E192" s="110"/>
      <c r="F192" s="110"/>
      <c r="G192" s="110"/>
      <c r="H192" s="110"/>
      <c r="I192" s="111"/>
      <c r="J192" s="56">
        <v>8600.93</v>
      </c>
    </row>
    <row r="193" spans="1:10" ht="25.5" customHeight="1" x14ac:dyDescent="0.25">
      <c r="A193" s="60">
        <v>3</v>
      </c>
      <c r="B193" s="109" t="s">
        <v>19</v>
      </c>
      <c r="C193" s="110"/>
      <c r="D193" s="110"/>
      <c r="E193" s="110"/>
      <c r="F193" s="110"/>
      <c r="G193" s="110"/>
      <c r="H193" s="110"/>
      <c r="I193" s="111"/>
      <c r="J193" s="56">
        <v>1472191.14</v>
      </c>
    </row>
    <row r="194" spans="1:10" ht="25.5" customHeight="1" x14ac:dyDescent="0.25">
      <c r="A194" s="60">
        <v>4</v>
      </c>
      <c r="B194" s="109" t="s">
        <v>58</v>
      </c>
      <c r="C194" s="110"/>
      <c r="D194" s="110"/>
      <c r="E194" s="110"/>
      <c r="F194" s="110"/>
      <c r="G194" s="110"/>
      <c r="H194" s="110"/>
      <c r="I194" s="111"/>
      <c r="J194" s="56">
        <v>2700</v>
      </c>
    </row>
    <row r="195" spans="1:10" ht="25.5" customHeight="1" x14ac:dyDescent="0.25">
      <c r="A195" s="60">
        <v>5</v>
      </c>
      <c r="B195" s="109" t="s">
        <v>13</v>
      </c>
      <c r="C195" s="110"/>
      <c r="D195" s="110"/>
      <c r="E195" s="110"/>
      <c r="F195" s="110"/>
      <c r="G195" s="110"/>
      <c r="H195" s="110"/>
      <c r="I195" s="111"/>
      <c r="J195" s="56"/>
    </row>
    <row r="196" spans="1:10" ht="25.5" customHeight="1" x14ac:dyDescent="0.25">
      <c r="A196" s="60">
        <v>6</v>
      </c>
      <c r="B196" s="109" t="s">
        <v>7</v>
      </c>
      <c r="C196" s="110"/>
      <c r="D196" s="110"/>
      <c r="E196" s="110"/>
      <c r="F196" s="110"/>
      <c r="G196" s="110"/>
      <c r="H196" s="110"/>
      <c r="I196" s="111"/>
      <c r="J196" s="55">
        <v>18266.5</v>
      </c>
    </row>
    <row r="197" spans="1:10" ht="29.25" customHeight="1" x14ac:dyDescent="0.25">
      <c r="A197" s="178" t="s">
        <v>56</v>
      </c>
      <c r="B197" s="178"/>
      <c r="C197" s="178"/>
      <c r="D197" s="178"/>
      <c r="E197" s="178"/>
      <c r="F197" s="178"/>
      <c r="G197" s="178"/>
      <c r="H197" s="178"/>
      <c r="I197" s="178"/>
      <c r="J197" s="178"/>
    </row>
    <row r="198" spans="1:10" ht="2.25" customHeight="1" x14ac:dyDescent="0.25">
      <c r="A198" s="84"/>
      <c r="B198" s="85"/>
      <c r="C198" s="85"/>
      <c r="D198" s="85"/>
      <c r="E198" s="85"/>
      <c r="F198" s="85"/>
      <c r="G198" s="85"/>
      <c r="H198" s="85"/>
      <c r="I198" s="85"/>
      <c r="J198" s="86"/>
    </row>
    <row r="199" spans="1:10" ht="25.5" customHeight="1" x14ac:dyDescent="0.25">
      <c r="A199" s="159" t="s">
        <v>71</v>
      </c>
      <c r="B199" s="160"/>
      <c r="C199" s="160"/>
      <c r="D199" s="160"/>
      <c r="E199" s="160"/>
      <c r="F199" s="160"/>
      <c r="G199" s="160"/>
      <c r="H199" s="160"/>
      <c r="I199" s="161"/>
      <c r="J199" s="69">
        <f>SUM(J200:J204)</f>
        <v>295450.45</v>
      </c>
    </row>
    <row r="200" spans="1:10" ht="25.5" customHeight="1" x14ac:dyDescent="0.25">
      <c r="A200" s="63">
        <v>1</v>
      </c>
      <c r="B200" s="109" t="s">
        <v>20</v>
      </c>
      <c r="C200" s="110"/>
      <c r="D200" s="110"/>
      <c r="E200" s="110"/>
      <c r="F200" s="110"/>
      <c r="G200" s="110"/>
      <c r="H200" s="110"/>
      <c r="I200" s="111"/>
      <c r="J200" s="56">
        <v>2055.46</v>
      </c>
    </row>
    <row r="201" spans="1:10" ht="25.5" customHeight="1" x14ac:dyDescent="0.25">
      <c r="A201" s="81">
        <v>2</v>
      </c>
      <c r="B201" s="109" t="s">
        <v>57</v>
      </c>
      <c r="C201" s="110"/>
      <c r="D201" s="110"/>
      <c r="E201" s="110"/>
      <c r="F201" s="110"/>
      <c r="G201" s="110"/>
      <c r="H201" s="110"/>
      <c r="I201" s="111"/>
      <c r="J201" s="74">
        <v>13381.92</v>
      </c>
    </row>
    <row r="202" spans="1:10" ht="25.5" customHeight="1" x14ac:dyDescent="0.25">
      <c r="A202" s="60">
        <v>3</v>
      </c>
      <c r="B202" s="109" t="s">
        <v>19</v>
      </c>
      <c r="C202" s="110"/>
      <c r="D202" s="110"/>
      <c r="E202" s="110"/>
      <c r="F202" s="110"/>
      <c r="G202" s="110"/>
      <c r="H202" s="110"/>
      <c r="I202" s="111"/>
      <c r="J202" s="74">
        <v>272610.86</v>
      </c>
    </row>
    <row r="203" spans="1:10" ht="25.5" customHeight="1" x14ac:dyDescent="0.25">
      <c r="A203" s="60">
        <v>4</v>
      </c>
      <c r="B203" s="109" t="s">
        <v>58</v>
      </c>
      <c r="C203" s="110"/>
      <c r="D203" s="110"/>
      <c r="E203" s="110"/>
      <c r="F203" s="110"/>
      <c r="G203" s="110"/>
      <c r="H203" s="110"/>
      <c r="I203" s="111"/>
      <c r="J203" s="74">
        <v>3960</v>
      </c>
    </row>
    <row r="204" spans="1:10" ht="25.5" customHeight="1" x14ac:dyDescent="0.25">
      <c r="A204" s="82">
        <v>5</v>
      </c>
      <c r="B204" s="177" t="s">
        <v>7</v>
      </c>
      <c r="C204" s="177"/>
      <c r="D204" s="177"/>
      <c r="E204" s="177"/>
      <c r="F204" s="177"/>
      <c r="G204" s="177"/>
      <c r="H204" s="177"/>
      <c r="I204" s="177"/>
      <c r="J204" s="74">
        <v>3442.21</v>
      </c>
    </row>
    <row r="205" spans="1:10" ht="25.5" customHeight="1" x14ac:dyDescent="0.25">
      <c r="A205" s="159" t="s">
        <v>72</v>
      </c>
      <c r="B205" s="160"/>
      <c r="C205" s="160"/>
      <c r="D205" s="160"/>
      <c r="E205" s="160"/>
      <c r="F205" s="160"/>
      <c r="G205" s="160"/>
      <c r="H205" s="160"/>
      <c r="I205" s="161"/>
      <c r="J205" s="69">
        <f>SUM(J206:J210)</f>
        <v>219340.21</v>
      </c>
    </row>
    <row r="206" spans="1:10" ht="25.5" customHeight="1" x14ac:dyDescent="0.25">
      <c r="A206" s="63">
        <v>1</v>
      </c>
      <c r="B206" s="109" t="s">
        <v>20</v>
      </c>
      <c r="C206" s="110"/>
      <c r="D206" s="110"/>
      <c r="E206" s="110"/>
      <c r="F206" s="110"/>
      <c r="G206" s="110"/>
      <c r="H206" s="110"/>
      <c r="I206" s="111"/>
      <c r="J206" s="56">
        <v>1370.3</v>
      </c>
    </row>
    <row r="207" spans="1:10" ht="25.5" customHeight="1" x14ac:dyDescent="0.25">
      <c r="A207" s="81">
        <v>2</v>
      </c>
      <c r="B207" s="109" t="s">
        <v>57</v>
      </c>
      <c r="C207" s="110"/>
      <c r="D207" s="110"/>
      <c r="E207" s="110"/>
      <c r="F207" s="110"/>
      <c r="G207" s="110"/>
      <c r="H207" s="110"/>
      <c r="I207" s="111"/>
      <c r="J207" s="75">
        <v>8921.2800000000007</v>
      </c>
    </row>
    <row r="208" spans="1:10" ht="25.5" customHeight="1" x14ac:dyDescent="0.25">
      <c r="A208" s="60">
        <v>3</v>
      </c>
      <c r="B208" s="109" t="s">
        <v>19</v>
      </c>
      <c r="C208" s="110"/>
      <c r="D208" s="110"/>
      <c r="E208" s="110"/>
      <c r="F208" s="110"/>
      <c r="G208" s="110"/>
      <c r="H208" s="110"/>
      <c r="I208" s="111"/>
      <c r="J208" s="75">
        <v>203804.98</v>
      </c>
    </row>
    <row r="209" spans="1:17" ht="25.5" customHeight="1" x14ac:dyDescent="0.25">
      <c r="A209" s="60">
        <v>4</v>
      </c>
      <c r="B209" s="109" t="s">
        <v>58</v>
      </c>
      <c r="C209" s="110"/>
      <c r="D209" s="110"/>
      <c r="E209" s="110"/>
      <c r="F209" s="110"/>
      <c r="G209" s="110"/>
      <c r="H209" s="110"/>
      <c r="I209" s="111"/>
      <c r="J209" s="75">
        <v>2640</v>
      </c>
    </row>
    <row r="210" spans="1:17" ht="25.5" customHeight="1" x14ac:dyDescent="0.25">
      <c r="A210" s="82">
        <v>5</v>
      </c>
      <c r="B210" s="177" t="s">
        <v>7</v>
      </c>
      <c r="C210" s="177"/>
      <c r="D210" s="177"/>
      <c r="E210" s="177"/>
      <c r="F210" s="177"/>
      <c r="G210" s="177"/>
      <c r="H210" s="177"/>
      <c r="I210" s="177"/>
      <c r="J210" s="75">
        <v>2603.65</v>
      </c>
    </row>
    <row r="211" spans="1:17" ht="25.5" customHeight="1" x14ac:dyDescent="0.25">
      <c r="A211" s="159" t="s">
        <v>73</v>
      </c>
      <c r="B211" s="160"/>
      <c r="C211" s="160"/>
      <c r="D211" s="160"/>
      <c r="E211" s="160"/>
      <c r="F211" s="160"/>
      <c r="G211" s="160"/>
      <c r="H211" s="160"/>
      <c r="I211" s="161"/>
      <c r="J211" s="69">
        <f>SUM(J212:J217)</f>
        <v>318163.02999999997</v>
      </c>
    </row>
    <row r="212" spans="1:17" ht="25.5" customHeight="1" x14ac:dyDescent="0.25">
      <c r="A212" s="63">
        <v>1</v>
      </c>
      <c r="B212" s="109" t="s">
        <v>20</v>
      </c>
      <c r="C212" s="110"/>
      <c r="D212" s="110"/>
      <c r="E212" s="110"/>
      <c r="F212" s="110"/>
      <c r="G212" s="110"/>
      <c r="H212" s="110"/>
      <c r="I212" s="111"/>
      <c r="J212" s="56">
        <v>2055.46</v>
      </c>
    </row>
    <row r="213" spans="1:17" ht="25.5" customHeight="1" x14ac:dyDescent="0.25">
      <c r="A213" s="81">
        <v>2</v>
      </c>
      <c r="B213" s="109" t="s">
        <v>57</v>
      </c>
      <c r="C213" s="110"/>
      <c r="D213" s="110"/>
      <c r="E213" s="110"/>
      <c r="F213" s="110"/>
      <c r="G213" s="110"/>
      <c r="H213" s="110"/>
      <c r="I213" s="111"/>
      <c r="J213" s="74">
        <v>13381.92</v>
      </c>
    </row>
    <row r="214" spans="1:17" ht="25.5" customHeight="1" x14ac:dyDescent="0.25">
      <c r="A214" s="60">
        <v>3</v>
      </c>
      <c r="B214" s="109" t="s">
        <v>19</v>
      </c>
      <c r="C214" s="110"/>
      <c r="D214" s="110"/>
      <c r="E214" s="110"/>
      <c r="F214" s="110"/>
      <c r="G214" s="110"/>
      <c r="H214" s="110"/>
      <c r="I214" s="111"/>
      <c r="J214" s="74">
        <v>292444.84999999998</v>
      </c>
    </row>
    <row r="215" spans="1:17" ht="25.5" customHeight="1" x14ac:dyDescent="0.25">
      <c r="A215" s="60">
        <v>4</v>
      </c>
      <c r="B215" s="109" t="s">
        <v>58</v>
      </c>
      <c r="C215" s="110"/>
      <c r="D215" s="110"/>
      <c r="E215" s="110"/>
      <c r="F215" s="110"/>
      <c r="G215" s="110"/>
      <c r="H215" s="110"/>
      <c r="I215" s="111"/>
      <c r="J215" s="74">
        <v>3960</v>
      </c>
    </row>
    <row r="216" spans="1:17" ht="25.5" customHeight="1" x14ac:dyDescent="0.25">
      <c r="A216" s="60">
        <v>5</v>
      </c>
      <c r="B216" s="109" t="s">
        <v>13</v>
      </c>
      <c r="C216" s="110"/>
      <c r="D216" s="110"/>
      <c r="E216" s="110"/>
      <c r="F216" s="110"/>
      <c r="G216" s="110"/>
      <c r="H216" s="110"/>
      <c r="I216" s="111"/>
      <c r="J216" s="74">
        <v>2620.8000000000002</v>
      </c>
    </row>
    <row r="217" spans="1:17" ht="25.5" customHeight="1" x14ac:dyDescent="0.25">
      <c r="A217" s="82">
        <v>6</v>
      </c>
      <c r="B217" s="177" t="s">
        <v>7</v>
      </c>
      <c r="C217" s="177"/>
      <c r="D217" s="177"/>
      <c r="E217" s="177"/>
      <c r="F217" s="177"/>
      <c r="G217" s="177"/>
      <c r="H217" s="177"/>
      <c r="I217" s="177"/>
      <c r="J217" s="78">
        <v>3700</v>
      </c>
    </row>
    <row r="218" spans="1:17" ht="25.5" customHeight="1" x14ac:dyDescent="0.25">
      <c r="A218" s="159" t="s">
        <v>77</v>
      </c>
      <c r="B218" s="160"/>
      <c r="C218" s="160"/>
      <c r="D218" s="160"/>
      <c r="E218" s="160"/>
      <c r="F218" s="160"/>
      <c r="G218" s="160"/>
      <c r="H218" s="160"/>
      <c r="I218" s="161"/>
      <c r="J218" s="69">
        <f>SUM(J219:J224)</f>
        <v>844659.74000000011</v>
      </c>
    </row>
    <row r="219" spans="1:17" ht="25.5" customHeight="1" x14ac:dyDescent="0.25">
      <c r="A219" s="63">
        <v>1</v>
      </c>
      <c r="B219" s="109" t="s">
        <v>20</v>
      </c>
      <c r="C219" s="110"/>
      <c r="D219" s="110"/>
      <c r="E219" s="110"/>
      <c r="F219" s="110"/>
      <c r="G219" s="110"/>
      <c r="H219" s="110"/>
      <c r="I219" s="111"/>
      <c r="J219" s="56">
        <v>9720</v>
      </c>
      <c r="P219">
        <v>2018</v>
      </c>
      <c r="Q219" s="1">
        <f>J8+J15+J22+J29+J36+J43+J50+J57+J199+J205+J211</f>
        <v>6216696.080000001</v>
      </c>
    </row>
    <row r="220" spans="1:17" ht="25.5" customHeight="1" x14ac:dyDescent="0.25">
      <c r="A220" s="81">
        <v>2</v>
      </c>
      <c r="B220" s="109" t="s">
        <v>57</v>
      </c>
      <c r="C220" s="110"/>
      <c r="D220" s="110"/>
      <c r="E220" s="110"/>
      <c r="F220" s="110"/>
      <c r="G220" s="110"/>
      <c r="H220" s="110"/>
      <c r="I220" s="111"/>
      <c r="J220" s="74">
        <v>17842.560000000001</v>
      </c>
      <c r="P220" s="3">
        <v>2019</v>
      </c>
      <c r="Q220" s="1">
        <f>J64+J71+J78+J85+J92+J218+J225+J232+J239+J246+J190+J171+J157+J156+J150+J149+J143+J142</f>
        <v>10986765.354999999</v>
      </c>
    </row>
    <row r="221" spans="1:17" ht="25.5" customHeight="1" x14ac:dyDescent="0.25">
      <c r="A221" s="60">
        <v>3</v>
      </c>
      <c r="B221" s="109" t="s">
        <v>19</v>
      </c>
      <c r="C221" s="110"/>
      <c r="D221" s="110"/>
      <c r="E221" s="110"/>
      <c r="F221" s="110"/>
      <c r="G221" s="110"/>
      <c r="H221" s="110"/>
      <c r="I221" s="111"/>
      <c r="J221" s="74">
        <v>801675.43</v>
      </c>
      <c r="P221" s="5">
        <v>2020</v>
      </c>
      <c r="Q221" s="4">
        <f>J99+J106+J253+J113+J120+J127+J134+J260+J141+J148+J155+J162+J169+J176+J183+J267+J274+J281+J288+J295-J171-J157-J156-J150-J149-J143-J142</f>
        <v>20429339.100000001</v>
      </c>
    </row>
    <row r="222" spans="1:17" ht="25.5" customHeight="1" x14ac:dyDescent="0.25">
      <c r="A222" s="60">
        <v>4</v>
      </c>
      <c r="B222" s="109" t="s">
        <v>58</v>
      </c>
      <c r="C222" s="110"/>
      <c r="D222" s="110"/>
      <c r="E222" s="110"/>
      <c r="F222" s="110"/>
      <c r="G222" s="110"/>
      <c r="H222" s="110"/>
      <c r="I222" s="111"/>
      <c r="J222" s="74">
        <v>5400</v>
      </c>
      <c r="Q222" s="1">
        <f>SUM(Q219:Q221)</f>
        <v>37632800.534999996</v>
      </c>
    </row>
    <row r="223" spans="1:17" ht="25.5" customHeight="1" x14ac:dyDescent="0.25">
      <c r="A223" s="60">
        <v>5</v>
      </c>
      <c r="B223" s="109" t="s">
        <v>13</v>
      </c>
      <c r="C223" s="110"/>
      <c r="D223" s="110"/>
      <c r="E223" s="110"/>
      <c r="F223" s="110"/>
      <c r="G223" s="110"/>
      <c r="H223" s="110"/>
      <c r="I223" s="111"/>
      <c r="J223" s="74"/>
    </row>
    <row r="224" spans="1:17" ht="25.5" customHeight="1" x14ac:dyDescent="0.25">
      <c r="A224" s="82">
        <v>6</v>
      </c>
      <c r="B224" s="177" t="s">
        <v>7</v>
      </c>
      <c r="C224" s="177"/>
      <c r="D224" s="177"/>
      <c r="E224" s="177"/>
      <c r="F224" s="177"/>
      <c r="G224" s="177"/>
      <c r="H224" s="177"/>
      <c r="I224" s="177"/>
      <c r="J224" s="78">
        <v>10021.75</v>
      </c>
    </row>
    <row r="225" spans="1:10" ht="25.5" customHeight="1" x14ac:dyDescent="0.25">
      <c r="A225" s="159" t="s">
        <v>78</v>
      </c>
      <c r="B225" s="160"/>
      <c r="C225" s="160"/>
      <c r="D225" s="160"/>
      <c r="E225" s="160"/>
      <c r="F225" s="160"/>
      <c r="G225" s="160"/>
      <c r="H225" s="160"/>
      <c r="I225" s="161"/>
      <c r="J225" s="69">
        <f>SUM(J226:J231)</f>
        <v>698132.96000000008</v>
      </c>
    </row>
    <row r="226" spans="1:10" ht="25.5" customHeight="1" x14ac:dyDescent="0.25">
      <c r="A226" s="63">
        <v>1</v>
      </c>
      <c r="B226" s="109" t="s">
        <v>20</v>
      </c>
      <c r="C226" s="110"/>
      <c r="D226" s="110"/>
      <c r="E226" s="110"/>
      <c r="F226" s="110"/>
      <c r="G226" s="110"/>
      <c r="H226" s="110"/>
      <c r="I226" s="111"/>
      <c r="J226" s="56">
        <v>9720</v>
      </c>
    </row>
    <row r="227" spans="1:10" ht="25.5" customHeight="1" x14ac:dyDescent="0.25">
      <c r="A227" s="81">
        <v>2</v>
      </c>
      <c r="B227" s="109" t="s">
        <v>57</v>
      </c>
      <c r="C227" s="110"/>
      <c r="D227" s="110"/>
      <c r="E227" s="110"/>
      <c r="F227" s="110"/>
      <c r="G227" s="110"/>
      <c r="H227" s="110"/>
      <c r="I227" s="111"/>
      <c r="J227" s="74">
        <v>17842.560000000001</v>
      </c>
    </row>
    <row r="228" spans="1:10" ht="25.5" customHeight="1" x14ac:dyDescent="0.25">
      <c r="A228" s="60">
        <v>3</v>
      </c>
      <c r="B228" s="109" t="s">
        <v>19</v>
      </c>
      <c r="C228" s="110"/>
      <c r="D228" s="110"/>
      <c r="E228" s="110"/>
      <c r="F228" s="110"/>
      <c r="G228" s="110"/>
      <c r="H228" s="110"/>
      <c r="I228" s="111"/>
      <c r="J228" s="74">
        <v>657015.05000000005</v>
      </c>
    </row>
    <row r="229" spans="1:10" ht="25.5" customHeight="1" x14ac:dyDescent="0.25">
      <c r="A229" s="60">
        <v>4</v>
      </c>
      <c r="B229" s="109" t="s">
        <v>58</v>
      </c>
      <c r="C229" s="110"/>
      <c r="D229" s="110"/>
      <c r="E229" s="110"/>
      <c r="F229" s="110"/>
      <c r="G229" s="110"/>
      <c r="H229" s="110"/>
      <c r="I229" s="111"/>
      <c r="J229" s="74">
        <v>5400</v>
      </c>
    </row>
    <row r="230" spans="1:10" ht="25.5" customHeight="1" x14ac:dyDescent="0.25">
      <c r="A230" s="60">
        <v>5</v>
      </c>
      <c r="B230" s="109" t="s">
        <v>13</v>
      </c>
      <c r="C230" s="110"/>
      <c r="D230" s="110"/>
      <c r="E230" s="110"/>
      <c r="F230" s="110"/>
      <c r="G230" s="110"/>
      <c r="H230" s="110"/>
      <c r="I230" s="111"/>
      <c r="J230" s="74"/>
    </row>
    <row r="231" spans="1:10" ht="25.5" customHeight="1" x14ac:dyDescent="0.25">
      <c r="A231" s="82">
        <v>6</v>
      </c>
      <c r="B231" s="177" t="s">
        <v>7</v>
      </c>
      <c r="C231" s="177"/>
      <c r="D231" s="177"/>
      <c r="E231" s="177"/>
      <c r="F231" s="177"/>
      <c r="G231" s="177"/>
      <c r="H231" s="177"/>
      <c r="I231" s="177"/>
      <c r="J231" s="78">
        <v>8155.35</v>
      </c>
    </row>
    <row r="232" spans="1:10" ht="25.5" customHeight="1" x14ac:dyDescent="0.25">
      <c r="A232" s="159" t="s">
        <v>81</v>
      </c>
      <c r="B232" s="160"/>
      <c r="C232" s="160"/>
      <c r="D232" s="160"/>
      <c r="E232" s="160"/>
      <c r="F232" s="160"/>
      <c r="G232" s="160"/>
      <c r="H232" s="160"/>
      <c r="I232" s="161"/>
      <c r="J232" s="69">
        <f>SUM(J233:J238)</f>
        <v>513716.22</v>
      </c>
    </row>
    <row r="233" spans="1:10" ht="25.5" customHeight="1" x14ac:dyDescent="0.25">
      <c r="A233" s="63">
        <v>1</v>
      </c>
      <c r="B233" s="109" t="s">
        <v>20</v>
      </c>
      <c r="C233" s="110"/>
      <c r="D233" s="110"/>
      <c r="E233" s="110"/>
      <c r="F233" s="110"/>
      <c r="G233" s="110"/>
      <c r="H233" s="110"/>
      <c r="I233" s="111"/>
      <c r="J233" s="56">
        <v>8100</v>
      </c>
    </row>
    <row r="234" spans="1:10" ht="25.5" customHeight="1" x14ac:dyDescent="0.25">
      <c r="A234" s="81">
        <v>2</v>
      </c>
      <c r="B234" s="109" t="s">
        <v>57</v>
      </c>
      <c r="C234" s="110"/>
      <c r="D234" s="110"/>
      <c r="E234" s="110"/>
      <c r="F234" s="110"/>
      <c r="G234" s="110"/>
      <c r="H234" s="110"/>
      <c r="I234" s="111"/>
      <c r="J234" s="74">
        <v>12413.23</v>
      </c>
    </row>
    <row r="235" spans="1:10" ht="25.5" customHeight="1" x14ac:dyDescent="0.25">
      <c r="A235" s="60">
        <v>3</v>
      </c>
      <c r="B235" s="109" t="s">
        <v>19</v>
      </c>
      <c r="C235" s="110"/>
      <c r="D235" s="110"/>
      <c r="E235" s="110"/>
      <c r="F235" s="110"/>
      <c r="G235" s="110"/>
      <c r="H235" s="110"/>
      <c r="I235" s="111"/>
      <c r="J235" s="74">
        <v>483291.83</v>
      </c>
    </row>
    <row r="236" spans="1:10" ht="25.5" customHeight="1" x14ac:dyDescent="0.25">
      <c r="A236" s="60">
        <v>4</v>
      </c>
      <c r="B236" s="109" t="s">
        <v>58</v>
      </c>
      <c r="C236" s="110"/>
      <c r="D236" s="110"/>
      <c r="E236" s="110"/>
      <c r="F236" s="110"/>
      <c r="G236" s="110"/>
      <c r="H236" s="110"/>
      <c r="I236" s="111"/>
      <c r="J236" s="74">
        <v>3960</v>
      </c>
    </row>
    <row r="237" spans="1:10" ht="25.5" customHeight="1" x14ac:dyDescent="0.25">
      <c r="A237" s="60">
        <v>5</v>
      </c>
      <c r="B237" s="109" t="s">
        <v>13</v>
      </c>
      <c r="C237" s="110"/>
      <c r="D237" s="110"/>
      <c r="E237" s="110"/>
      <c r="F237" s="110"/>
      <c r="G237" s="110"/>
      <c r="H237" s="110"/>
      <c r="I237" s="111"/>
      <c r="J237" s="74"/>
    </row>
    <row r="238" spans="1:10" ht="25.5" customHeight="1" x14ac:dyDescent="0.25">
      <c r="A238" s="82">
        <v>6</v>
      </c>
      <c r="B238" s="177" t="s">
        <v>7</v>
      </c>
      <c r="C238" s="177"/>
      <c r="D238" s="177"/>
      <c r="E238" s="177"/>
      <c r="F238" s="177"/>
      <c r="G238" s="177"/>
      <c r="H238" s="177"/>
      <c r="I238" s="177"/>
      <c r="J238" s="78">
        <v>5951.16</v>
      </c>
    </row>
    <row r="239" spans="1:10" ht="25.5" customHeight="1" x14ac:dyDescent="0.25">
      <c r="A239" s="159" t="s">
        <v>82</v>
      </c>
      <c r="B239" s="160"/>
      <c r="C239" s="160"/>
      <c r="D239" s="160"/>
      <c r="E239" s="160"/>
      <c r="F239" s="160"/>
      <c r="G239" s="160"/>
      <c r="H239" s="160"/>
      <c r="I239" s="161"/>
      <c r="J239" s="87">
        <f>SUM(J240:J245)</f>
        <v>235475.7</v>
      </c>
    </row>
    <row r="240" spans="1:10" ht="25.5" customHeight="1" x14ac:dyDescent="0.25">
      <c r="A240" s="63">
        <v>1</v>
      </c>
      <c r="B240" s="109" t="s">
        <v>20</v>
      </c>
      <c r="C240" s="110"/>
      <c r="D240" s="110"/>
      <c r="E240" s="110"/>
      <c r="F240" s="110"/>
      <c r="G240" s="110"/>
      <c r="H240" s="110"/>
      <c r="I240" s="111"/>
      <c r="J240" s="78">
        <v>1620</v>
      </c>
    </row>
    <row r="241" spans="1:10" ht="25.5" customHeight="1" x14ac:dyDescent="0.25">
      <c r="A241" s="81">
        <v>2</v>
      </c>
      <c r="B241" s="109" t="s">
        <v>57</v>
      </c>
      <c r="C241" s="110"/>
      <c r="D241" s="110"/>
      <c r="E241" s="110"/>
      <c r="F241" s="110"/>
      <c r="G241" s="110"/>
      <c r="H241" s="110"/>
      <c r="I241" s="111"/>
      <c r="J241" s="78">
        <v>4137.74</v>
      </c>
    </row>
    <row r="242" spans="1:10" ht="25.5" customHeight="1" x14ac:dyDescent="0.25">
      <c r="A242" s="60">
        <v>3</v>
      </c>
      <c r="B242" s="109" t="s">
        <v>19</v>
      </c>
      <c r="C242" s="110"/>
      <c r="D242" s="110"/>
      <c r="E242" s="110"/>
      <c r="F242" s="110"/>
      <c r="G242" s="110"/>
      <c r="H242" s="110"/>
      <c r="I242" s="111"/>
      <c r="J242" s="78">
        <v>225586.76</v>
      </c>
    </row>
    <row r="243" spans="1:10" ht="25.5" customHeight="1" x14ac:dyDescent="0.25">
      <c r="A243" s="60">
        <v>4</v>
      </c>
      <c r="B243" s="109" t="s">
        <v>58</v>
      </c>
      <c r="C243" s="110"/>
      <c r="D243" s="110"/>
      <c r="E243" s="110"/>
      <c r="F243" s="110"/>
      <c r="G243" s="110"/>
      <c r="H243" s="110"/>
      <c r="I243" s="111"/>
      <c r="J243" s="78">
        <v>1320</v>
      </c>
    </row>
    <row r="244" spans="1:10" ht="25.5" customHeight="1" x14ac:dyDescent="0.25">
      <c r="A244" s="60">
        <v>5</v>
      </c>
      <c r="B244" s="109" t="s">
        <v>13</v>
      </c>
      <c r="C244" s="110"/>
      <c r="D244" s="110"/>
      <c r="E244" s="110"/>
      <c r="F244" s="110"/>
      <c r="G244" s="110"/>
      <c r="H244" s="110"/>
      <c r="I244" s="111"/>
      <c r="J244" s="78"/>
    </row>
    <row r="245" spans="1:10" ht="25.5" customHeight="1" x14ac:dyDescent="0.25">
      <c r="A245" s="82">
        <v>6</v>
      </c>
      <c r="B245" s="177" t="s">
        <v>7</v>
      </c>
      <c r="C245" s="177"/>
      <c r="D245" s="177"/>
      <c r="E245" s="177"/>
      <c r="F245" s="177"/>
      <c r="G245" s="177"/>
      <c r="H245" s="177"/>
      <c r="I245" s="177"/>
      <c r="J245" s="78">
        <v>2811.2</v>
      </c>
    </row>
    <row r="246" spans="1:10" ht="25.5" customHeight="1" x14ac:dyDescent="0.25">
      <c r="A246" s="159" t="s">
        <v>83</v>
      </c>
      <c r="B246" s="160"/>
      <c r="C246" s="160"/>
      <c r="D246" s="160"/>
      <c r="E246" s="160"/>
      <c r="F246" s="160"/>
      <c r="G246" s="160"/>
      <c r="H246" s="160"/>
      <c r="I246" s="161"/>
      <c r="J246" s="87">
        <f>SUM(J247:J252)</f>
        <v>492738.23</v>
      </c>
    </row>
    <row r="247" spans="1:10" ht="25.5" customHeight="1" x14ac:dyDescent="0.25">
      <c r="A247" s="63">
        <v>1</v>
      </c>
      <c r="B247" s="109" t="s">
        <v>20</v>
      </c>
      <c r="C247" s="110"/>
      <c r="D247" s="110"/>
      <c r="E247" s="110"/>
      <c r="F247" s="110"/>
      <c r="G247" s="110"/>
      <c r="H247" s="110"/>
      <c r="I247" s="111"/>
      <c r="J247" s="78">
        <v>8100</v>
      </c>
    </row>
    <row r="248" spans="1:10" ht="25.5" customHeight="1" x14ac:dyDescent="0.25">
      <c r="A248" s="81">
        <v>2</v>
      </c>
      <c r="B248" s="109" t="s">
        <v>57</v>
      </c>
      <c r="C248" s="110"/>
      <c r="D248" s="110"/>
      <c r="E248" s="110"/>
      <c r="F248" s="110"/>
      <c r="G248" s="110"/>
      <c r="H248" s="110"/>
      <c r="I248" s="111"/>
      <c r="J248" s="78">
        <v>12413.23</v>
      </c>
    </row>
    <row r="249" spans="1:10" ht="25.5" customHeight="1" x14ac:dyDescent="0.25">
      <c r="A249" s="60">
        <v>3</v>
      </c>
      <c r="B249" s="109" t="s">
        <v>19</v>
      </c>
      <c r="C249" s="110"/>
      <c r="D249" s="110"/>
      <c r="E249" s="110"/>
      <c r="F249" s="110"/>
      <c r="G249" s="110"/>
      <c r="H249" s="110"/>
      <c r="I249" s="111"/>
      <c r="J249" s="78">
        <v>462550.7</v>
      </c>
    </row>
    <row r="250" spans="1:10" ht="25.5" customHeight="1" x14ac:dyDescent="0.25">
      <c r="A250" s="60">
        <v>4</v>
      </c>
      <c r="B250" s="109" t="s">
        <v>58</v>
      </c>
      <c r="C250" s="110"/>
      <c r="D250" s="110"/>
      <c r="E250" s="110"/>
      <c r="F250" s="110"/>
      <c r="G250" s="110"/>
      <c r="H250" s="110"/>
      <c r="I250" s="111"/>
      <c r="J250" s="78">
        <v>3960</v>
      </c>
    </row>
    <row r="251" spans="1:10" ht="25.5" customHeight="1" x14ac:dyDescent="0.25">
      <c r="A251" s="60">
        <v>5</v>
      </c>
      <c r="B251" s="109" t="s">
        <v>13</v>
      </c>
      <c r="C251" s="110"/>
      <c r="D251" s="110"/>
      <c r="E251" s="110"/>
      <c r="F251" s="110"/>
      <c r="G251" s="110"/>
      <c r="H251" s="110"/>
      <c r="I251" s="111"/>
      <c r="J251" s="78"/>
    </row>
    <row r="252" spans="1:10" ht="25.5" customHeight="1" x14ac:dyDescent="0.25">
      <c r="A252" s="82">
        <v>6</v>
      </c>
      <c r="B252" s="177" t="s">
        <v>7</v>
      </c>
      <c r="C252" s="177"/>
      <c r="D252" s="177"/>
      <c r="E252" s="177"/>
      <c r="F252" s="177"/>
      <c r="G252" s="177"/>
      <c r="H252" s="177"/>
      <c r="I252" s="177"/>
      <c r="J252" s="78">
        <v>5714.3</v>
      </c>
    </row>
    <row r="253" spans="1:10" ht="25.5" customHeight="1" x14ac:dyDescent="0.25">
      <c r="A253" s="159" t="s">
        <v>85</v>
      </c>
      <c r="B253" s="160"/>
      <c r="C253" s="160"/>
      <c r="D253" s="160"/>
      <c r="E253" s="160"/>
      <c r="F253" s="160"/>
      <c r="G253" s="160"/>
      <c r="H253" s="160"/>
      <c r="I253" s="161"/>
      <c r="J253" s="87">
        <f>SUM(J254:J259)</f>
        <v>292631.71999999997</v>
      </c>
    </row>
    <row r="254" spans="1:10" ht="25.5" customHeight="1" x14ac:dyDescent="0.25">
      <c r="A254" s="63">
        <v>1</v>
      </c>
      <c r="B254" s="109" t="s">
        <v>20</v>
      </c>
      <c r="C254" s="110"/>
      <c r="D254" s="110"/>
      <c r="E254" s="110"/>
      <c r="F254" s="110"/>
      <c r="G254" s="110"/>
      <c r="H254" s="110"/>
      <c r="I254" s="111"/>
      <c r="J254" s="78">
        <v>3240</v>
      </c>
    </row>
    <row r="255" spans="1:10" ht="25.5" customHeight="1" x14ac:dyDescent="0.25">
      <c r="A255" s="81">
        <v>2</v>
      </c>
      <c r="B255" s="109" t="s">
        <v>57</v>
      </c>
      <c r="C255" s="110"/>
      <c r="D255" s="110"/>
      <c r="E255" s="110"/>
      <c r="F255" s="110"/>
      <c r="G255" s="110"/>
      <c r="H255" s="110"/>
      <c r="I255" s="111"/>
      <c r="J255" s="78">
        <v>9255.18</v>
      </c>
    </row>
    <row r="256" spans="1:10" ht="25.5" customHeight="1" x14ac:dyDescent="0.25">
      <c r="A256" s="60">
        <v>3</v>
      </c>
      <c r="B256" s="109" t="s">
        <v>19</v>
      </c>
      <c r="C256" s="110"/>
      <c r="D256" s="110"/>
      <c r="E256" s="110"/>
      <c r="F256" s="110"/>
      <c r="G256" s="110"/>
      <c r="H256" s="110"/>
      <c r="I256" s="111"/>
      <c r="J256" s="78">
        <v>274682.38</v>
      </c>
    </row>
    <row r="257" spans="1:10" ht="25.5" customHeight="1" x14ac:dyDescent="0.25">
      <c r="A257" s="60">
        <v>4</v>
      </c>
      <c r="B257" s="109" t="s">
        <v>58</v>
      </c>
      <c r="C257" s="110"/>
      <c r="D257" s="110"/>
      <c r="E257" s="110"/>
      <c r="F257" s="110"/>
      <c r="G257" s="110"/>
      <c r="H257" s="110"/>
      <c r="I257" s="111"/>
      <c r="J257" s="78">
        <v>2066.8000000000002</v>
      </c>
    </row>
    <row r="258" spans="1:10" ht="25.5" customHeight="1" x14ac:dyDescent="0.25">
      <c r="A258" s="60">
        <v>5</v>
      </c>
      <c r="B258" s="109" t="s">
        <v>13</v>
      </c>
      <c r="C258" s="110"/>
      <c r="D258" s="110"/>
      <c r="E258" s="110"/>
      <c r="F258" s="110"/>
      <c r="G258" s="110"/>
      <c r="H258" s="110"/>
      <c r="I258" s="111"/>
      <c r="J258" s="78"/>
    </row>
    <row r="259" spans="1:10" ht="25.5" customHeight="1" x14ac:dyDescent="0.25">
      <c r="A259" s="82">
        <v>6</v>
      </c>
      <c r="B259" s="177" t="s">
        <v>7</v>
      </c>
      <c r="C259" s="177"/>
      <c r="D259" s="177"/>
      <c r="E259" s="177"/>
      <c r="F259" s="177"/>
      <c r="G259" s="177"/>
      <c r="H259" s="177"/>
      <c r="I259" s="177"/>
      <c r="J259" s="78">
        <v>3387.36</v>
      </c>
    </row>
    <row r="260" spans="1:10" ht="25.5" customHeight="1" x14ac:dyDescent="0.25">
      <c r="A260" s="159" t="s">
        <v>97</v>
      </c>
      <c r="B260" s="160"/>
      <c r="C260" s="160"/>
      <c r="D260" s="160"/>
      <c r="E260" s="160"/>
      <c r="F260" s="160"/>
      <c r="G260" s="160"/>
      <c r="H260" s="160"/>
      <c r="I260" s="161"/>
      <c r="J260" s="87">
        <f>SUM(J261:J266)</f>
        <v>539241.68000000017</v>
      </c>
    </row>
    <row r="261" spans="1:10" ht="25.5" customHeight="1" x14ac:dyDescent="0.25">
      <c r="A261" s="63">
        <v>1</v>
      </c>
      <c r="B261" s="109" t="s">
        <v>20</v>
      </c>
      <c r="C261" s="110"/>
      <c r="D261" s="110"/>
      <c r="E261" s="110"/>
      <c r="F261" s="110"/>
      <c r="G261" s="110"/>
      <c r="H261" s="110"/>
      <c r="I261" s="111"/>
      <c r="J261" s="78">
        <v>8868</v>
      </c>
    </row>
    <row r="262" spans="1:10" ht="25.5" customHeight="1" x14ac:dyDescent="0.25">
      <c r="A262" s="81">
        <v>2</v>
      </c>
      <c r="B262" s="109" t="s">
        <v>57</v>
      </c>
      <c r="C262" s="110"/>
      <c r="D262" s="110"/>
      <c r="E262" s="110"/>
      <c r="F262" s="110"/>
      <c r="G262" s="110"/>
      <c r="H262" s="110"/>
      <c r="I262" s="111"/>
      <c r="J262" s="78">
        <v>13698.81</v>
      </c>
    </row>
    <row r="263" spans="1:10" ht="25.5" customHeight="1" x14ac:dyDescent="0.25">
      <c r="A263" s="60">
        <v>3</v>
      </c>
      <c r="B263" s="109" t="s">
        <v>19</v>
      </c>
      <c r="C263" s="110"/>
      <c r="D263" s="110"/>
      <c r="E263" s="110"/>
      <c r="F263" s="110"/>
      <c r="G263" s="110"/>
      <c r="H263" s="110"/>
      <c r="I263" s="111"/>
      <c r="J263" s="78">
        <v>507860.01</v>
      </c>
    </row>
    <row r="264" spans="1:10" ht="25.5" customHeight="1" x14ac:dyDescent="0.25">
      <c r="A264" s="60">
        <v>4</v>
      </c>
      <c r="B264" s="109" t="s">
        <v>58</v>
      </c>
      <c r="C264" s="110"/>
      <c r="D264" s="110"/>
      <c r="E264" s="110"/>
      <c r="F264" s="110"/>
      <c r="G264" s="110"/>
      <c r="H264" s="110"/>
      <c r="I264" s="111"/>
      <c r="J264" s="78">
        <v>2556.81</v>
      </c>
    </row>
    <row r="265" spans="1:10" ht="25.5" customHeight="1" x14ac:dyDescent="0.25">
      <c r="A265" s="60">
        <v>5</v>
      </c>
      <c r="B265" s="109" t="s">
        <v>13</v>
      </c>
      <c r="C265" s="110"/>
      <c r="D265" s="110"/>
      <c r="E265" s="110"/>
      <c r="F265" s="110"/>
      <c r="G265" s="110"/>
      <c r="H265" s="110"/>
      <c r="I265" s="111"/>
      <c r="J265" s="78"/>
    </row>
    <row r="266" spans="1:10" ht="25.5" customHeight="1" x14ac:dyDescent="0.25">
      <c r="A266" s="82">
        <v>6</v>
      </c>
      <c r="B266" s="177" t="s">
        <v>7</v>
      </c>
      <c r="C266" s="177"/>
      <c r="D266" s="177"/>
      <c r="E266" s="177"/>
      <c r="F266" s="177"/>
      <c r="G266" s="177"/>
      <c r="H266" s="177"/>
      <c r="I266" s="177"/>
      <c r="J266" s="78">
        <v>6258.05</v>
      </c>
    </row>
    <row r="267" spans="1:10" ht="25.5" customHeight="1" x14ac:dyDescent="0.25">
      <c r="A267" s="159" t="s">
        <v>102</v>
      </c>
      <c r="B267" s="160"/>
      <c r="C267" s="160"/>
      <c r="D267" s="160"/>
      <c r="E267" s="160"/>
      <c r="F267" s="160"/>
      <c r="G267" s="160"/>
      <c r="H267" s="160"/>
      <c r="I267" s="161"/>
      <c r="J267" s="87">
        <f>SUM(J268:J273)</f>
        <v>472038.3</v>
      </c>
    </row>
    <row r="268" spans="1:10" ht="37.5" customHeight="1" x14ac:dyDescent="0.25">
      <c r="A268" s="63">
        <v>1</v>
      </c>
      <c r="B268" s="109" t="s">
        <v>105</v>
      </c>
      <c r="C268" s="110"/>
      <c r="D268" s="110"/>
      <c r="E268" s="110"/>
      <c r="F268" s="110"/>
      <c r="G268" s="110"/>
      <c r="H268" s="110"/>
      <c r="I268" s="111"/>
      <c r="J268" s="78">
        <v>6480</v>
      </c>
    </row>
    <row r="269" spans="1:10" ht="25.5" customHeight="1" x14ac:dyDescent="0.25">
      <c r="A269" s="81">
        <v>2</v>
      </c>
      <c r="B269" s="109" t="s">
        <v>57</v>
      </c>
      <c r="C269" s="110"/>
      <c r="D269" s="110"/>
      <c r="E269" s="110"/>
      <c r="F269" s="110"/>
      <c r="G269" s="110"/>
      <c r="H269" s="110"/>
      <c r="I269" s="111"/>
      <c r="J269" s="78">
        <v>9255.18</v>
      </c>
    </row>
    <row r="270" spans="1:10" ht="25.5" customHeight="1" x14ac:dyDescent="0.25">
      <c r="A270" s="60">
        <v>3</v>
      </c>
      <c r="B270" s="109" t="s">
        <v>19</v>
      </c>
      <c r="C270" s="110"/>
      <c r="D270" s="110"/>
      <c r="E270" s="110"/>
      <c r="F270" s="110"/>
      <c r="G270" s="110"/>
      <c r="H270" s="110"/>
      <c r="I270" s="111"/>
      <c r="J270" s="78">
        <v>448951.34</v>
      </c>
    </row>
    <row r="271" spans="1:10" ht="25.5" customHeight="1" x14ac:dyDescent="0.25">
      <c r="A271" s="60">
        <v>4</v>
      </c>
      <c r="B271" s="109" t="s">
        <v>58</v>
      </c>
      <c r="C271" s="110"/>
      <c r="D271" s="110"/>
      <c r="E271" s="110"/>
      <c r="F271" s="110"/>
      <c r="G271" s="110"/>
      <c r="H271" s="110"/>
      <c r="I271" s="111"/>
      <c r="J271" s="78">
        <v>1704.54</v>
      </c>
    </row>
    <row r="272" spans="1:10" ht="25.5" customHeight="1" x14ac:dyDescent="0.25">
      <c r="A272" s="60">
        <v>5</v>
      </c>
      <c r="B272" s="109" t="s">
        <v>13</v>
      </c>
      <c r="C272" s="110"/>
      <c r="D272" s="110"/>
      <c r="E272" s="110"/>
      <c r="F272" s="110"/>
      <c r="G272" s="110"/>
      <c r="H272" s="110"/>
      <c r="I272" s="111"/>
      <c r="J272" s="78"/>
    </row>
    <row r="273" spans="1:10" ht="25.5" customHeight="1" x14ac:dyDescent="0.25">
      <c r="A273" s="82">
        <v>6</v>
      </c>
      <c r="B273" s="177" t="s">
        <v>7</v>
      </c>
      <c r="C273" s="177"/>
      <c r="D273" s="177"/>
      <c r="E273" s="177"/>
      <c r="F273" s="177"/>
      <c r="G273" s="177"/>
      <c r="H273" s="177"/>
      <c r="I273" s="177"/>
      <c r="J273" s="78">
        <v>5647.24</v>
      </c>
    </row>
    <row r="274" spans="1:10" ht="25.5" customHeight="1" x14ac:dyDescent="0.25">
      <c r="A274" s="159" t="s">
        <v>103</v>
      </c>
      <c r="B274" s="160"/>
      <c r="C274" s="160"/>
      <c r="D274" s="160"/>
      <c r="E274" s="160"/>
      <c r="F274" s="160"/>
      <c r="G274" s="160"/>
      <c r="H274" s="160"/>
      <c r="I274" s="161"/>
      <c r="J274" s="87">
        <f>SUM(J275:J280)</f>
        <v>438776.79</v>
      </c>
    </row>
    <row r="275" spans="1:10" ht="33" customHeight="1" x14ac:dyDescent="0.25">
      <c r="A275" s="63">
        <v>1</v>
      </c>
      <c r="B275" s="109" t="s">
        <v>105</v>
      </c>
      <c r="C275" s="110"/>
      <c r="D275" s="110"/>
      <c r="E275" s="110"/>
      <c r="F275" s="110"/>
      <c r="G275" s="110"/>
      <c r="H275" s="110"/>
      <c r="I275" s="111"/>
      <c r="J275" s="78">
        <v>6480</v>
      </c>
    </row>
    <row r="276" spans="1:10" ht="25.5" customHeight="1" x14ac:dyDescent="0.25">
      <c r="A276" s="81">
        <v>2</v>
      </c>
      <c r="B276" s="109" t="s">
        <v>57</v>
      </c>
      <c r="C276" s="110"/>
      <c r="D276" s="110"/>
      <c r="E276" s="110"/>
      <c r="F276" s="110"/>
      <c r="G276" s="110"/>
      <c r="H276" s="110"/>
      <c r="I276" s="111"/>
      <c r="J276" s="78">
        <v>9255.18</v>
      </c>
    </row>
    <row r="277" spans="1:10" ht="25.5" customHeight="1" x14ac:dyDescent="0.25">
      <c r="A277" s="60">
        <v>3</v>
      </c>
      <c r="B277" s="109" t="s">
        <v>19</v>
      </c>
      <c r="C277" s="110"/>
      <c r="D277" s="110"/>
      <c r="E277" s="110"/>
      <c r="F277" s="110"/>
      <c r="G277" s="110"/>
      <c r="H277" s="110"/>
      <c r="I277" s="111"/>
      <c r="J277" s="78">
        <v>416101.11</v>
      </c>
    </row>
    <row r="278" spans="1:10" ht="25.5" customHeight="1" x14ac:dyDescent="0.25">
      <c r="A278" s="60">
        <v>4</v>
      </c>
      <c r="B278" s="109" t="s">
        <v>58</v>
      </c>
      <c r="C278" s="110"/>
      <c r="D278" s="110"/>
      <c r="E278" s="110"/>
      <c r="F278" s="110"/>
      <c r="G278" s="110"/>
      <c r="H278" s="110"/>
      <c r="I278" s="111"/>
      <c r="J278" s="78">
        <v>1704.54</v>
      </c>
    </row>
    <row r="279" spans="1:10" ht="25.5" customHeight="1" x14ac:dyDescent="0.25">
      <c r="A279" s="60">
        <v>5</v>
      </c>
      <c r="B279" s="109" t="s">
        <v>13</v>
      </c>
      <c r="C279" s="110"/>
      <c r="D279" s="110"/>
      <c r="E279" s="110"/>
      <c r="F279" s="110"/>
      <c r="G279" s="110"/>
      <c r="H279" s="110"/>
      <c r="I279" s="111"/>
      <c r="J279" s="78"/>
    </row>
    <row r="280" spans="1:10" ht="25.5" customHeight="1" x14ac:dyDescent="0.25">
      <c r="A280" s="82">
        <v>6</v>
      </c>
      <c r="B280" s="177" t="s">
        <v>7</v>
      </c>
      <c r="C280" s="177"/>
      <c r="D280" s="177"/>
      <c r="E280" s="177"/>
      <c r="F280" s="177"/>
      <c r="G280" s="177"/>
      <c r="H280" s="177"/>
      <c r="I280" s="177"/>
      <c r="J280" s="78">
        <v>5235.96</v>
      </c>
    </row>
    <row r="281" spans="1:10" ht="25.5" customHeight="1" x14ac:dyDescent="0.25">
      <c r="A281" s="159" t="s">
        <v>104</v>
      </c>
      <c r="B281" s="160"/>
      <c r="C281" s="160"/>
      <c r="D281" s="160"/>
      <c r="E281" s="160"/>
      <c r="F281" s="160"/>
      <c r="G281" s="160"/>
      <c r="H281" s="160"/>
      <c r="I281" s="161"/>
      <c r="J281" s="87">
        <f>SUM(J282:J287)</f>
        <v>146453.93</v>
      </c>
    </row>
    <row r="282" spans="1:10" ht="25.5" customHeight="1" x14ac:dyDescent="0.25">
      <c r="A282" s="63">
        <v>1</v>
      </c>
      <c r="B282" s="109" t="s">
        <v>20</v>
      </c>
      <c r="C282" s="110"/>
      <c r="D282" s="110"/>
      <c r="E282" s="110"/>
      <c r="F282" s="110"/>
      <c r="G282" s="110"/>
      <c r="H282" s="110"/>
      <c r="I282" s="111"/>
      <c r="J282" s="78">
        <v>1620</v>
      </c>
    </row>
    <row r="283" spans="1:10" ht="25.5" customHeight="1" x14ac:dyDescent="0.25">
      <c r="A283" s="81">
        <v>2</v>
      </c>
      <c r="B283" s="109" t="s">
        <v>57</v>
      </c>
      <c r="C283" s="110"/>
      <c r="D283" s="110"/>
      <c r="E283" s="110"/>
      <c r="F283" s="110"/>
      <c r="G283" s="110"/>
      <c r="H283" s="110"/>
      <c r="I283" s="111"/>
      <c r="J283" s="78">
        <v>4566.2700000000004</v>
      </c>
    </row>
    <row r="284" spans="1:10" ht="25.5" customHeight="1" x14ac:dyDescent="0.25">
      <c r="A284" s="60">
        <v>3</v>
      </c>
      <c r="B284" s="109" t="s">
        <v>19</v>
      </c>
      <c r="C284" s="110"/>
      <c r="D284" s="110"/>
      <c r="E284" s="110"/>
      <c r="F284" s="110"/>
      <c r="G284" s="110"/>
      <c r="H284" s="110"/>
      <c r="I284" s="111"/>
      <c r="J284" s="78">
        <v>137728.1</v>
      </c>
    </row>
    <row r="285" spans="1:10" ht="25.5" customHeight="1" x14ac:dyDescent="0.25">
      <c r="A285" s="60">
        <v>4</v>
      </c>
      <c r="B285" s="109" t="s">
        <v>58</v>
      </c>
      <c r="C285" s="110"/>
      <c r="D285" s="110"/>
      <c r="E285" s="110"/>
      <c r="F285" s="110"/>
      <c r="G285" s="110"/>
      <c r="H285" s="110"/>
      <c r="I285" s="111"/>
      <c r="J285" s="78">
        <v>852.27</v>
      </c>
    </row>
    <row r="286" spans="1:10" ht="25.5" customHeight="1" x14ac:dyDescent="0.25">
      <c r="A286" s="60">
        <v>5</v>
      </c>
      <c r="B286" s="109" t="s">
        <v>13</v>
      </c>
      <c r="C286" s="110"/>
      <c r="D286" s="110"/>
      <c r="E286" s="110"/>
      <c r="F286" s="110"/>
      <c r="G286" s="110"/>
      <c r="H286" s="110"/>
      <c r="I286" s="111"/>
      <c r="J286" s="78"/>
    </row>
    <row r="287" spans="1:10" ht="25.5" customHeight="1" x14ac:dyDescent="0.25">
      <c r="A287" s="82">
        <v>6</v>
      </c>
      <c r="B287" s="177" t="s">
        <v>7</v>
      </c>
      <c r="C287" s="177"/>
      <c r="D287" s="177"/>
      <c r="E287" s="177"/>
      <c r="F287" s="177"/>
      <c r="G287" s="177"/>
      <c r="H287" s="177"/>
      <c r="I287" s="177"/>
      <c r="J287" s="78">
        <v>1687.29</v>
      </c>
    </row>
    <row r="288" spans="1:10" ht="25.5" customHeight="1" x14ac:dyDescent="0.25">
      <c r="A288" s="159" t="s">
        <v>109</v>
      </c>
      <c r="B288" s="160"/>
      <c r="C288" s="160"/>
      <c r="D288" s="160"/>
      <c r="E288" s="160"/>
      <c r="F288" s="160"/>
      <c r="G288" s="160"/>
      <c r="H288" s="160"/>
      <c r="I288" s="161"/>
      <c r="J288" s="87">
        <f>SUM(J289:J294)</f>
        <v>325792.67999999993</v>
      </c>
    </row>
    <row r="289" spans="1:10" ht="45.75" customHeight="1" x14ac:dyDescent="0.25">
      <c r="A289" s="63">
        <v>1</v>
      </c>
      <c r="B289" s="109" t="s">
        <v>105</v>
      </c>
      <c r="C289" s="110"/>
      <c r="D289" s="110"/>
      <c r="E289" s="110"/>
      <c r="F289" s="110"/>
      <c r="G289" s="110"/>
      <c r="H289" s="110"/>
      <c r="I289" s="111"/>
      <c r="J289" s="78">
        <v>6480</v>
      </c>
    </row>
    <row r="290" spans="1:10" ht="25.5" customHeight="1" x14ac:dyDescent="0.25">
      <c r="A290" s="81">
        <v>2</v>
      </c>
      <c r="B290" s="109" t="s">
        <v>57</v>
      </c>
      <c r="C290" s="110"/>
      <c r="D290" s="110"/>
      <c r="E290" s="110"/>
      <c r="F290" s="110"/>
      <c r="G290" s="110"/>
      <c r="H290" s="110"/>
      <c r="I290" s="111"/>
      <c r="J290" s="78">
        <v>9132.5400000000009</v>
      </c>
    </row>
    <row r="291" spans="1:10" ht="25.5" customHeight="1" x14ac:dyDescent="0.25">
      <c r="A291" s="60">
        <v>3</v>
      </c>
      <c r="B291" s="109" t="s">
        <v>19</v>
      </c>
      <c r="C291" s="110"/>
      <c r="D291" s="110"/>
      <c r="E291" s="110"/>
      <c r="F291" s="110"/>
      <c r="G291" s="110"/>
      <c r="H291" s="110"/>
      <c r="I291" s="111"/>
      <c r="J291" s="78">
        <v>304694.68</v>
      </c>
    </row>
    <row r="292" spans="1:10" ht="25.5" customHeight="1" x14ac:dyDescent="0.25">
      <c r="A292" s="60">
        <v>4</v>
      </c>
      <c r="B292" s="109" t="s">
        <v>58</v>
      </c>
      <c r="C292" s="110"/>
      <c r="D292" s="110"/>
      <c r="E292" s="110"/>
      <c r="F292" s="110"/>
      <c r="G292" s="110"/>
      <c r="H292" s="110"/>
      <c r="I292" s="111"/>
      <c r="J292" s="78">
        <v>1704.54</v>
      </c>
    </row>
    <row r="293" spans="1:10" ht="25.5" customHeight="1" x14ac:dyDescent="0.25">
      <c r="A293" s="60">
        <v>5</v>
      </c>
      <c r="B293" s="109" t="s">
        <v>13</v>
      </c>
      <c r="C293" s="110"/>
      <c r="D293" s="110"/>
      <c r="E293" s="110"/>
      <c r="F293" s="110"/>
      <c r="G293" s="110"/>
      <c r="H293" s="110"/>
      <c r="I293" s="111"/>
      <c r="J293" s="78"/>
    </row>
    <row r="294" spans="1:10" ht="25.5" customHeight="1" x14ac:dyDescent="0.25">
      <c r="A294" s="82">
        <v>6</v>
      </c>
      <c r="B294" s="177" t="s">
        <v>7</v>
      </c>
      <c r="C294" s="177"/>
      <c r="D294" s="177"/>
      <c r="E294" s="177"/>
      <c r="F294" s="177"/>
      <c r="G294" s="177"/>
      <c r="H294" s="177"/>
      <c r="I294" s="177"/>
      <c r="J294" s="78">
        <v>3780.92</v>
      </c>
    </row>
    <row r="295" spans="1:10" ht="25.5" customHeight="1" x14ac:dyDescent="0.25">
      <c r="A295" s="159" t="s">
        <v>110</v>
      </c>
      <c r="B295" s="160"/>
      <c r="C295" s="160"/>
      <c r="D295" s="160"/>
      <c r="E295" s="160"/>
      <c r="F295" s="160"/>
      <c r="G295" s="160"/>
      <c r="H295" s="160"/>
      <c r="I295" s="161"/>
      <c r="J295" s="87">
        <f>SUM(J296:J301)</f>
        <v>165519.66999999998</v>
      </c>
    </row>
    <row r="296" spans="1:10" ht="30" customHeight="1" x14ac:dyDescent="0.25">
      <c r="A296" s="63">
        <v>1</v>
      </c>
      <c r="B296" s="109" t="s">
        <v>111</v>
      </c>
      <c r="C296" s="110"/>
      <c r="D296" s="110"/>
      <c r="E296" s="110"/>
      <c r="F296" s="110"/>
      <c r="G296" s="110"/>
      <c r="H296" s="110"/>
      <c r="I296" s="111"/>
      <c r="J296" s="78">
        <v>1620</v>
      </c>
    </row>
    <row r="297" spans="1:10" ht="25.5" customHeight="1" x14ac:dyDescent="0.25">
      <c r="A297" s="81">
        <v>2</v>
      </c>
      <c r="B297" s="109" t="s">
        <v>57</v>
      </c>
      <c r="C297" s="110"/>
      <c r="D297" s="110"/>
      <c r="E297" s="110"/>
      <c r="F297" s="110"/>
      <c r="G297" s="110"/>
      <c r="H297" s="110"/>
      <c r="I297" s="111"/>
      <c r="J297" s="78">
        <v>4566.2700000000004</v>
      </c>
    </row>
    <row r="298" spans="1:10" ht="25.5" customHeight="1" x14ac:dyDescent="0.25">
      <c r="A298" s="60">
        <v>3</v>
      </c>
      <c r="B298" s="109" t="s">
        <v>19</v>
      </c>
      <c r="C298" s="110"/>
      <c r="D298" s="110"/>
      <c r="E298" s="110"/>
      <c r="F298" s="110"/>
      <c r="G298" s="110"/>
      <c r="H298" s="110"/>
      <c r="I298" s="111"/>
      <c r="J298" s="78">
        <v>156557.29</v>
      </c>
    </row>
    <row r="299" spans="1:10" ht="25.5" customHeight="1" x14ac:dyDescent="0.25">
      <c r="A299" s="60">
        <v>4</v>
      </c>
      <c r="B299" s="109" t="s">
        <v>58</v>
      </c>
      <c r="C299" s="110"/>
      <c r="D299" s="110"/>
      <c r="E299" s="110"/>
      <c r="F299" s="110"/>
      <c r="G299" s="110"/>
      <c r="H299" s="110"/>
      <c r="I299" s="111"/>
      <c r="J299" s="78">
        <v>852.27</v>
      </c>
    </row>
    <row r="300" spans="1:10" ht="25.5" customHeight="1" x14ac:dyDescent="0.25">
      <c r="A300" s="60">
        <v>5</v>
      </c>
      <c r="B300" s="109" t="s">
        <v>13</v>
      </c>
      <c r="C300" s="110"/>
      <c r="D300" s="110"/>
      <c r="E300" s="110"/>
      <c r="F300" s="110"/>
      <c r="G300" s="110"/>
      <c r="H300" s="110"/>
      <c r="I300" s="111"/>
      <c r="J300" s="78"/>
    </row>
    <row r="301" spans="1:10" ht="25.5" customHeight="1" x14ac:dyDescent="0.25">
      <c r="A301" s="82">
        <v>6</v>
      </c>
      <c r="B301" s="177" t="s">
        <v>7</v>
      </c>
      <c r="C301" s="177"/>
      <c r="D301" s="177"/>
      <c r="E301" s="177"/>
      <c r="F301" s="177"/>
      <c r="G301" s="177"/>
      <c r="H301" s="177"/>
      <c r="I301" s="177"/>
      <c r="J301" s="78">
        <v>1923.84</v>
      </c>
    </row>
    <row r="302" spans="1:10" ht="15" customHeight="1" x14ac:dyDescent="0.25">
      <c r="A302" s="121" t="s">
        <v>87</v>
      </c>
      <c r="B302" s="122"/>
      <c r="C302" s="122"/>
      <c r="D302" s="122"/>
      <c r="E302" s="122"/>
      <c r="F302" s="122"/>
      <c r="G302" s="122"/>
      <c r="H302" s="122"/>
      <c r="I302" s="123"/>
      <c r="J302" s="114">
        <f>Q219+Q220+Q221</f>
        <v>37632800.534999996</v>
      </c>
    </row>
    <row r="303" spans="1:10" ht="15" customHeight="1" x14ac:dyDescent="0.25">
      <c r="A303" s="124"/>
      <c r="B303" s="125"/>
      <c r="C303" s="125"/>
      <c r="D303" s="125"/>
      <c r="E303" s="125"/>
      <c r="F303" s="125"/>
      <c r="G303" s="125"/>
      <c r="H303" s="125"/>
      <c r="I303" s="126"/>
      <c r="J303" s="114"/>
    </row>
    <row r="304" spans="1:10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J304" s="25"/>
    </row>
    <row r="305" spans="1:10" ht="0.75" customHeight="1" x14ac:dyDescent="0.25">
      <c r="A305" s="25"/>
      <c r="B305" s="25"/>
      <c r="C305" s="25"/>
      <c r="D305" s="25"/>
      <c r="E305" s="25"/>
      <c r="F305" s="25"/>
      <c r="G305" s="25"/>
      <c r="H305" s="25"/>
      <c r="I305" s="25"/>
      <c r="J305" s="25"/>
    </row>
    <row r="306" spans="1:10" hidden="1" x14ac:dyDescent="0.25">
      <c r="A306" s="25"/>
      <c r="B306" s="25"/>
      <c r="C306" s="25"/>
      <c r="D306" s="25"/>
      <c r="E306" s="25"/>
      <c r="F306" s="25"/>
      <c r="G306" s="25" t="s">
        <v>127</v>
      </c>
      <c r="H306" s="25"/>
      <c r="I306" s="25"/>
      <c r="J306" s="88">
        <f>J8+J15+J22+J29+J36+J43+J50+J57+J64+J71+J78+J85+J92+J99+J106+J113+J120+J127+J134+J141+J148+J155+J162+J169+J176+J183+J190</f>
        <v>31634669.224999998</v>
      </c>
    </row>
    <row r="307" spans="1:10" hidden="1" x14ac:dyDescent="0.25">
      <c r="A307" s="25"/>
      <c r="B307" s="25"/>
      <c r="C307" s="25"/>
      <c r="D307" s="25"/>
      <c r="E307" s="25"/>
      <c r="F307" s="25"/>
      <c r="G307" s="25" t="s">
        <v>128</v>
      </c>
      <c r="H307" s="25"/>
      <c r="I307" s="25"/>
      <c r="J307" s="89">
        <f>J199+J205+J211+J218+J225+J232+J239+J246+J253+J260+J267+J274+J281+J288+J295</f>
        <v>5998131.3100000005</v>
      </c>
    </row>
    <row r="308" spans="1:10" hidden="1" x14ac:dyDescent="0.25">
      <c r="A308" s="25"/>
      <c r="B308" s="25"/>
      <c r="C308" s="25"/>
      <c r="D308" s="25"/>
      <c r="E308" s="25"/>
      <c r="F308" s="25"/>
      <c r="G308" s="25"/>
      <c r="H308" s="25"/>
      <c r="I308" s="25"/>
      <c r="J308" s="88">
        <f>SUM(J306:J307)</f>
        <v>37632800.534999996</v>
      </c>
    </row>
    <row r="309" spans="1:10" ht="15.75" x14ac:dyDescent="0.25">
      <c r="A309" s="90" t="s">
        <v>129</v>
      </c>
      <c r="B309" s="90"/>
      <c r="C309" s="90"/>
      <c r="D309" s="90"/>
      <c r="E309" s="90"/>
      <c r="F309" s="90"/>
      <c r="G309" s="90"/>
      <c r="H309" s="90"/>
      <c r="I309" s="90"/>
      <c r="J309" s="90"/>
    </row>
    <row r="310" spans="1:10" x14ac:dyDescent="0.25">
      <c r="A310" s="25"/>
      <c r="B310" s="25"/>
      <c r="C310" s="25"/>
      <c r="D310" s="25"/>
      <c r="E310" s="25"/>
      <c r="F310" s="25"/>
      <c r="G310" s="25"/>
      <c r="H310" s="25"/>
      <c r="I310" s="25"/>
      <c r="J310" s="25"/>
    </row>
  </sheetData>
  <mergeCells count="302">
    <mergeCell ref="J302:J303"/>
    <mergeCell ref="A309:J309"/>
    <mergeCell ref="B297:I297"/>
    <mergeCell ref="B298:I298"/>
    <mergeCell ref="B299:I299"/>
    <mergeCell ref="B300:I300"/>
    <mergeCell ref="B301:I301"/>
    <mergeCell ref="A302:I303"/>
    <mergeCell ref="B291:I291"/>
    <mergeCell ref="B292:I292"/>
    <mergeCell ref="B293:I293"/>
    <mergeCell ref="B294:I294"/>
    <mergeCell ref="A295:I295"/>
    <mergeCell ref="B296:I296"/>
    <mergeCell ref="B285:I285"/>
    <mergeCell ref="B286:I286"/>
    <mergeCell ref="B287:I287"/>
    <mergeCell ref="A288:I288"/>
    <mergeCell ref="B289:I289"/>
    <mergeCell ref="B290:I290"/>
    <mergeCell ref="B279:I279"/>
    <mergeCell ref="B280:I280"/>
    <mergeCell ref="A281:I281"/>
    <mergeCell ref="B282:I282"/>
    <mergeCell ref="B283:I283"/>
    <mergeCell ref="B284:I284"/>
    <mergeCell ref="B273:I273"/>
    <mergeCell ref="A274:I274"/>
    <mergeCell ref="B275:I275"/>
    <mergeCell ref="B276:I276"/>
    <mergeCell ref="B277:I277"/>
    <mergeCell ref="B278:I278"/>
    <mergeCell ref="A267:I267"/>
    <mergeCell ref="B268:I268"/>
    <mergeCell ref="B269:I269"/>
    <mergeCell ref="B270:I270"/>
    <mergeCell ref="B271:I271"/>
    <mergeCell ref="B272:I272"/>
    <mergeCell ref="B261:I261"/>
    <mergeCell ref="B262:I262"/>
    <mergeCell ref="B263:I263"/>
    <mergeCell ref="B264:I264"/>
    <mergeCell ref="B265:I265"/>
    <mergeCell ref="B266:I266"/>
    <mergeCell ref="B255:I255"/>
    <mergeCell ref="B256:I256"/>
    <mergeCell ref="B257:I257"/>
    <mergeCell ref="B258:I258"/>
    <mergeCell ref="B259:I259"/>
    <mergeCell ref="A260:I260"/>
    <mergeCell ref="B249:I249"/>
    <mergeCell ref="B250:I250"/>
    <mergeCell ref="B251:I251"/>
    <mergeCell ref="B252:I252"/>
    <mergeCell ref="A253:I253"/>
    <mergeCell ref="B254:I254"/>
    <mergeCell ref="B243:I243"/>
    <mergeCell ref="B244:I244"/>
    <mergeCell ref="B245:I245"/>
    <mergeCell ref="A246:I246"/>
    <mergeCell ref="B247:I247"/>
    <mergeCell ref="B248:I248"/>
    <mergeCell ref="B237:I237"/>
    <mergeCell ref="B238:I238"/>
    <mergeCell ref="A239:I239"/>
    <mergeCell ref="B240:I240"/>
    <mergeCell ref="B241:I241"/>
    <mergeCell ref="B242:I242"/>
    <mergeCell ref="B231:I231"/>
    <mergeCell ref="A232:I232"/>
    <mergeCell ref="B233:I233"/>
    <mergeCell ref="B234:I234"/>
    <mergeCell ref="B235:I235"/>
    <mergeCell ref="B236:I236"/>
    <mergeCell ref="A225:I225"/>
    <mergeCell ref="B226:I226"/>
    <mergeCell ref="B227:I227"/>
    <mergeCell ref="B228:I228"/>
    <mergeCell ref="B229:I229"/>
    <mergeCell ref="B230:I230"/>
    <mergeCell ref="B219:I219"/>
    <mergeCell ref="B220:I220"/>
    <mergeCell ref="B221:I221"/>
    <mergeCell ref="B222:I222"/>
    <mergeCell ref="B223:I223"/>
    <mergeCell ref="B224:I224"/>
    <mergeCell ref="B213:I213"/>
    <mergeCell ref="B214:I214"/>
    <mergeCell ref="B215:I215"/>
    <mergeCell ref="B216:I216"/>
    <mergeCell ref="B217:I217"/>
    <mergeCell ref="A218:I218"/>
    <mergeCell ref="B207:I207"/>
    <mergeCell ref="B208:I208"/>
    <mergeCell ref="B209:I209"/>
    <mergeCell ref="B210:I210"/>
    <mergeCell ref="A211:I211"/>
    <mergeCell ref="B212:I212"/>
    <mergeCell ref="B201:I201"/>
    <mergeCell ref="B202:I202"/>
    <mergeCell ref="B203:I203"/>
    <mergeCell ref="B204:I204"/>
    <mergeCell ref="A205:I205"/>
    <mergeCell ref="B206:I206"/>
    <mergeCell ref="B194:I194"/>
    <mergeCell ref="B195:I195"/>
    <mergeCell ref="B196:I196"/>
    <mergeCell ref="A197:J197"/>
    <mergeCell ref="A199:I199"/>
    <mergeCell ref="B200:I200"/>
    <mergeCell ref="B188:I188"/>
    <mergeCell ref="B189:I189"/>
    <mergeCell ref="A190:I190"/>
    <mergeCell ref="B191:I191"/>
    <mergeCell ref="B192:I192"/>
    <mergeCell ref="B193:I193"/>
    <mergeCell ref="B182:I182"/>
    <mergeCell ref="A183:I183"/>
    <mergeCell ref="B184:I184"/>
    <mergeCell ref="B185:I185"/>
    <mergeCell ref="B186:I186"/>
    <mergeCell ref="B187:I187"/>
    <mergeCell ref="A176:I176"/>
    <mergeCell ref="B177:I177"/>
    <mergeCell ref="B178:I178"/>
    <mergeCell ref="B179:I179"/>
    <mergeCell ref="B180:I180"/>
    <mergeCell ref="B181:I181"/>
    <mergeCell ref="B170:I170"/>
    <mergeCell ref="B171:I171"/>
    <mergeCell ref="B172:I172"/>
    <mergeCell ref="B173:I173"/>
    <mergeCell ref="B174:I174"/>
    <mergeCell ref="B175:I175"/>
    <mergeCell ref="B164:I164"/>
    <mergeCell ref="B165:I165"/>
    <mergeCell ref="B166:I166"/>
    <mergeCell ref="B167:I167"/>
    <mergeCell ref="B168:I168"/>
    <mergeCell ref="A169:I169"/>
    <mergeCell ref="B158:I158"/>
    <mergeCell ref="B159:I159"/>
    <mergeCell ref="B160:I160"/>
    <mergeCell ref="B161:I161"/>
    <mergeCell ref="A162:I162"/>
    <mergeCell ref="B163:I163"/>
    <mergeCell ref="B152:I152"/>
    <mergeCell ref="B153:I153"/>
    <mergeCell ref="B154:I154"/>
    <mergeCell ref="A155:I155"/>
    <mergeCell ref="B156:I156"/>
    <mergeCell ref="B157:I157"/>
    <mergeCell ref="B146:I146"/>
    <mergeCell ref="B147:I147"/>
    <mergeCell ref="A148:I148"/>
    <mergeCell ref="B149:I149"/>
    <mergeCell ref="B150:I150"/>
    <mergeCell ref="B151:I151"/>
    <mergeCell ref="B140:I140"/>
    <mergeCell ref="A141:I141"/>
    <mergeCell ref="B142:I142"/>
    <mergeCell ref="B143:I143"/>
    <mergeCell ref="B144:I144"/>
    <mergeCell ref="B145:I145"/>
    <mergeCell ref="A134:I134"/>
    <mergeCell ref="B135:I135"/>
    <mergeCell ref="B136:I136"/>
    <mergeCell ref="B137:I137"/>
    <mergeCell ref="B138:I138"/>
    <mergeCell ref="B139:I139"/>
    <mergeCell ref="B128:I128"/>
    <mergeCell ref="B129:I129"/>
    <mergeCell ref="B130:I130"/>
    <mergeCell ref="B131:I131"/>
    <mergeCell ref="B132:I132"/>
    <mergeCell ref="B133:I133"/>
    <mergeCell ref="B122:I122"/>
    <mergeCell ref="B123:I123"/>
    <mergeCell ref="B124:I124"/>
    <mergeCell ref="B125:I125"/>
    <mergeCell ref="B126:I126"/>
    <mergeCell ref="A127:I127"/>
    <mergeCell ref="B116:I116"/>
    <mergeCell ref="B117:I117"/>
    <mergeCell ref="B118:I118"/>
    <mergeCell ref="B119:I119"/>
    <mergeCell ref="A120:I120"/>
    <mergeCell ref="B121:I121"/>
    <mergeCell ref="B110:I110"/>
    <mergeCell ref="B111:I111"/>
    <mergeCell ref="B112:I112"/>
    <mergeCell ref="A113:I113"/>
    <mergeCell ref="B114:I114"/>
    <mergeCell ref="B115:I115"/>
    <mergeCell ref="B104:I104"/>
    <mergeCell ref="B105:I105"/>
    <mergeCell ref="A106:I106"/>
    <mergeCell ref="B107:I107"/>
    <mergeCell ref="B108:I108"/>
    <mergeCell ref="B109:I109"/>
    <mergeCell ref="B98:I98"/>
    <mergeCell ref="A99:I99"/>
    <mergeCell ref="B100:I100"/>
    <mergeCell ref="B101:I101"/>
    <mergeCell ref="B102:I102"/>
    <mergeCell ref="B103:I103"/>
    <mergeCell ref="A92:I92"/>
    <mergeCell ref="B93:I93"/>
    <mergeCell ref="B94:I94"/>
    <mergeCell ref="B95:I95"/>
    <mergeCell ref="B96:I96"/>
    <mergeCell ref="B97:I97"/>
    <mergeCell ref="B86:I86"/>
    <mergeCell ref="B87:I87"/>
    <mergeCell ref="B88:I88"/>
    <mergeCell ref="B89:I89"/>
    <mergeCell ref="B90:I90"/>
    <mergeCell ref="B91:I91"/>
    <mergeCell ref="B80:I80"/>
    <mergeCell ref="B81:I81"/>
    <mergeCell ref="B82:I82"/>
    <mergeCell ref="B83:I83"/>
    <mergeCell ref="B84:I84"/>
    <mergeCell ref="A85:I85"/>
    <mergeCell ref="B74:I74"/>
    <mergeCell ref="B75:I75"/>
    <mergeCell ref="B76:I76"/>
    <mergeCell ref="B77:I77"/>
    <mergeCell ref="A78:I78"/>
    <mergeCell ref="B79:I79"/>
    <mergeCell ref="B68:I68"/>
    <mergeCell ref="B69:I69"/>
    <mergeCell ref="B70:I70"/>
    <mergeCell ref="A71:I71"/>
    <mergeCell ref="B72:I72"/>
    <mergeCell ref="B73:I73"/>
    <mergeCell ref="B62:I62"/>
    <mergeCell ref="B63:I63"/>
    <mergeCell ref="A64:I64"/>
    <mergeCell ref="B65:I65"/>
    <mergeCell ref="B66:I66"/>
    <mergeCell ref="B67:I67"/>
    <mergeCell ref="B56:I56"/>
    <mergeCell ref="A57:I57"/>
    <mergeCell ref="B58:I58"/>
    <mergeCell ref="B59:I59"/>
    <mergeCell ref="B60:I60"/>
    <mergeCell ref="B61:I61"/>
    <mergeCell ref="A50:I50"/>
    <mergeCell ref="B51:I51"/>
    <mergeCell ref="B52:I52"/>
    <mergeCell ref="B53:I53"/>
    <mergeCell ref="B54:I54"/>
    <mergeCell ref="B55:I55"/>
    <mergeCell ref="B44:I44"/>
    <mergeCell ref="B45:I45"/>
    <mergeCell ref="B46:I46"/>
    <mergeCell ref="B47:I47"/>
    <mergeCell ref="B48:I48"/>
    <mergeCell ref="B49:I49"/>
    <mergeCell ref="B38:I38"/>
    <mergeCell ref="B39:I39"/>
    <mergeCell ref="B40:I40"/>
    <mergeCell ref="B41:I41"/>
    <mergeCell ref="B42:I42"/>
    <mergeCell ref="A43:I43"/>
    <mergeCell ref="B32:I32"/>
    <mergeCell ref="B33:I33"/>
    <mergeCell ref="B34:I34"/>
    <mergeCell ref="B35:I35"/>
    <mergeCell ref="A36:I36"/>
    <mergeCell ref="B37:I37"/>
    <mergeCell ref="B26:I26"/>
    <mergeCell ref="B27:I27"/>
    <mergeCell ref="B28:I28"/>
    <mergeCell ref="A29:I29"/>
    <mergeCell ref="B30:I30"/>
    <mergeCell ref="B31:I31"/>
    <mergeCell ref="B20:I20"/>
    <mergeCell ref="B21:I21"/>
    <mergeCell ref="A22:I22"/>
    <mergeCell ref="B23:I23"/>
    <mergeCell ref="B24:I24"/>
    <mergeCell ref="B25:I25"/>
    <mergeCell ref="B14:I14"/>
    <mergeCell ref="A15:I15"/>
    <mergeCell ref="B16:I16"/>
    <mergeCell ref="B17:I17"/>
    <mergeCell ref="B18:I18"/>
    <mergeCell ref="B19:I19"/>
    <mergeCell ref="A8:I8"/>
    <mergeCell ref="B9:I9"/>
    <mergeCell ref="B10:I10"/>
    <mergeCell ref="B11:I11"/>
    <mergeCell ref="B12:I12"/>
    <mergeCell ref="B13:I13"/>
    <mergeCell ref="G2:J2"/>
    <mergeCell ref="D3:J3"/>
    <mergeCell ref="A4:J4"/>
    <mergeCell ref="A6:A7"/>
    <mergeCell ref="B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Lytay</cp:lastModifiedBy>
  <cp:lastPrinted>2021-05-28T12:33:58Z</cp:lastPrinted>
  <dcterms:created xsi:type="dcterms:W3CDTF">2020-03-10T09:26:44Z</dcterms:created>
  <dcterms:modified xsi:type="dcterms:W3CDTF">2021-05-31T09:03:54Z</dcterms:modified>
</cp:coreProperties>
</file>