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3395" windowHeight="9225" tabRatio="836" activeTab="1"/>
  </bookViews>
  <sheets>
    <sheet name="Зам Т" sheetId="16" r:id="rId1"/>
    <sheet name="Зам В " sheetId="17" r:id="rId2"/>
    <sheet name="матерТ" sheetId="12" r:id="rId3"/>
    <sheet name="матерВ" sheetId="18" r:id="rId4"/>
    <sheet name="1_ВОП" sheetId="4" r:id="rId5"/>
    <sheet name="людгод (сто)" sheetId="7" r:id="rId6"/>
    <sheet name="опломб Т" sheetId="10" r:id="rId7"/>
    <sheet name="опломб В" sheetId="11" r:id="rId8"/>
    <sheet name="спецодяг" sheetId="19" r:id="rId9"/>
  </sheets>
  <definedNames>
    <definedName name="_xlnm.Print_Area" localSheetId="4">'1_ВОП'!$A$1:$H$31</definedName>
    <definedName name="_xlnm.Print_Area" localSheetId="1">'Зам В '!$A$1:$E$36</definedName>
    <definedName name="_xlnm.Print_Area" localSheetId="0">'Зам Т'!$A$1:$E$38</definedName>
    <definedName name="_xlnm.Print_Area" localSheetId="5">'людгод (сто)'!$A$1:$O$25</definedName>
    <definedName name="_xlnm.Print_Area" localSheetId="3">матерВ!$A$1:$E$31</definedName>
    <definedName name="_xlnm.Print_Area" localSheetId="2">матерТ!$A$1:$E$31</definedName>
    <definedName name="_xlnm.Print_Area" localSheetId="7">'опломб В'!$A$1:$E$28</definedName>
    <definedName name="_xlnm.Print_Area" localSheetId="6">'опломб Т'!$A$1:$E$31</definedName>
    <definedName name="_xlnm.Print_Area" localSheetId="8">спецодяг!$A$1:$F$36</definedName>
  </definedNames>
  <calcPr calcId="124519"/>
</workbook>
</file>

<file path=xl/calcChain.xml><?xml version="1.0" encoding="utf-8"?>
<calcChain xmlns="http://schemas.openxmlformats.org/spreadsheetml/2006/main">
  <c r="F20" i="19"/>
  <c r="N12" i="7"/>
  <c r="B11"/>
  <c r="B7" i="12"/>
  <c r="B10" i="7"/>
  <c r="B12" s="1"/>
  <c r="F19" i="19"/>
  <c r="E7" i="10"/>
  <c r="E8"/>
  <c r="E9"/>
  <c r="D18" i="16"/>
  <c r="E7" i="11"/>
  <c r="E8"/>
  <c r="E9" s="1"/>
  <c r="D16" i="17" s="1"/>
  <c r="D13" i="19"/>
  <c r="D16"/>
  <c r="D15"/>
  <c r="D14"/>
  <c r="D12"/>
  <c r="D11"/>
  <c r="F11" s="1"/>
  <c r="D10"/>
  <c r="F10"/>
  <c r="D9"/>
  <c r="D8"/>
  <c r="F8" s="1"/>
  <c r="D7"/>
  <c r="F7" s="1"/>
  <c r="D6"/>
  <c r="F6"/>
  <c r="D5"/>
  <c r="F5"/>
  <c r="F17" s="1"/>
  <c r="F18" s="1"/>
  <c r="F21" s="1"/>
  <c r="F9"/>
  <c r="F12"/>
  <c r="F13"/>
  <c r="F14"/>
  <c r="F15"/>
  <c r="F16"/>
  <c r="D6" i="12"/>
  <c r="B8"/>
  <c r="D14" i="16" s="1"/>
  <c r="D7" i="18"/>
  <c r="B9" s="1"/>
  <c r="D12" i="17" s="1"/>
  <c r="M11" i="7"/>
  <c r="O11" s="1"/>
  <c r="M10"/>
  <c r="M12" s="1"/>
  <c r="O12" s="1"/>
  <c r="G6" i="4" s="1"/>
  <c r="O10" i="7"/>
  <c r="D17" i="17" l="1"/>
  <c r="D19" i="16"/>
  <c r="G7" i="4"/>
  <c r="H7" s="1"/>
  <c r="H6"/>
  <c r="H8" l="1"/>
  <c r="D15" i="16" l="1"/>
  <c r="D13" i="17"/>
  <c r="D17" i="16" l="1"/>
  <c r="D16" s="1"/>
  <c r="D20"/>
  <c r="D13"/>
  <c r="D23" s="1"/>
  <c r="D15" i="17"/>
  <c r="D14" s="1"/>
  <c r="D18"/>
  <c r="D11" s="1"/>
  <c r="D21" s="1"/>
  <c r="D22" l="1"/>
  <c r="D23" s="1"/>
  <c r="D25" s="1"/>
  <c r="D26" s="1"/>
  <c r="D28" s="1"/>
  <c r="D25" i="16"/>
  <c r="D27" s="1"/>
  <c r="D28" s="1"/>
  <c r="D30" s="1"/>
  <c r="D24"/>
</calcChain>
</file>

<file path=xl/sharedStrings.xml><?xml version="1.0" encoding="utf-8"?>
<sst xmlns="http://schemas.openxmlformats.org/spreadsheetml/2006/main" count="303" uniqueCount="159">
  <si>
    <t>№ з/п</t>
  </si>
  <si>
    <t>Одиниці виміру</t>
  </si>
  <si>
    <t>Статті витрат</t>
  </si>
  <si>
    <t>2.</t>
  </si>
  <si>
    <t>грн</t>
  </si>
  <si>
    <t>Сума витрат, грн</t>
  </si>
  <si>
    <t>ПОГОДЖУЮ</t>
  </si>
  <si>
    <t>ЗАТВЕРДЖУЮ</t>
  </si>
  <si>
    <t>Заступник головного інженера</t>
  </si>
  <si>
    <t xml:space="preserve">Заступник генерального директора </t>
  </si>
  <si>
    <t>з економіки та фінансів</t>
  </si>
  <si>
    <t>№ п/п</t>
  </si>
  <si>
    <t>з загальностанційних об'єктів</t>
  </si>
  <si>
    <t>Прямі витрати на оплату праці</t>
  </si>
  <si>
    <t xml:space="preserve">Начальник ПЕУ 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</si>
  <si>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</si>
  <si>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</si>
  <si>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</si>
  <si>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</si>
  <si>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</si>
  <si>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</si>
  <si>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</si>
  <si>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</si>
  <si>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</si>
  <si>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</si>
  <si>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</si>
  <si>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</si>
  <si>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</si>
  <si>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</si>
  <si>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</si>
  <si>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</si>
  <si>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</si>
  <si>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</si>
  <si>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</si>
  <si>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</si>
  <si>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</si>
  <si>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</si>
  <si>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</si>
  <si>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</si>
  <si>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Л. Ф. Ковтонюк</t>
  </si>
  <si>
    <t>_____________  Ф. Г. Кислицин</t>
  </si>
  <si>
    <t>______________  В. М. Бондаренко</t>
  </si>
  <si>
    <t>Єдиний внесок на загальнообов'язкове  державне соціальне страхування (22% від ВОП)</t>
  </si>
  <si>
    <t>Додаток № 1</t>
  </si>
  <si>
    <t xml:space="preserve">ВСЬОГО витрат на оплату праці  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</si>
  <si>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</si>
  <si>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</si>
  <si>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</si>
  <si>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</si>
  <si>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</si>
  <si>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</si>
  <si>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</si>
  <si>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</si>
  <si>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</si>
  <si>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</si>
  <si>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</si>
  <si>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</si>
  <si>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</si>
  <si>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</si>
  <si>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</si>
  <si>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</si>
  <si>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</si>
  <si>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</si>
  <si>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</si>
  <si>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</si>
  <si>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</si>
  <si>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К-сть працівників</t>
  </si>
  <si>
    <t>Найменування ТМЦ</t>
  </si>
  <si>
    <t>Кількість</t>
  </si>
  <si>
    <t>Ціна, грн</t>
  </si>
  <si>
    <t>Вартість, грн</t>
  </si>
  <si>
    <t>Розпломбування лічильника</t>
  </si>
  <si>
    <t xml:space="preserve">Опломбування лічильника </t>
  </si>
  <si>
    <t xml:space="preserve">Прямі матеріальні витрати </t>
  </si>
  <si>
    <t>Слюсар-сантехнік 4 розряду</t>
  </si>
  <si>
    <t>Од. виміру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</si>
  <si>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</si>
  <si>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</si>
  <si>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</si>
  <si>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розпломбування та опломбування 1 приладу обліку теплової енергії</t>
  </si>
  <si>
    <t>Вузли комерційного обліку (обмінний фонд)</t>
  </si>
  <si>
    <t>Витрати на опломбування та розпломбування</t>
  </si>
  <si>
    <t>Кількість, шт.</t>
  </si>
  <si>
    <t>Кількість встановлених лічильників, шт</t>
  </si>
  <si>
    <t xml:space="preserve"> Прямі матеріальні витрати, грн</t>
  </si>
  <si>
    <t xml:space="preserve">Разом витрат </t>
  </si>
  <si>
    <t>Період відшкодування витрат (розстрочення періоду платежів)</t>
  </si>
  <si>
    <t>років</t>
  </si>
  <si>
    <t>Витрати на рік</t>
  </si>
  <si>
    <t>Розрахунок витрат на оплату праці  
при виконанні заміни 1 лічильника вузла комерційного обліку</t>
  </si>
  <si>
    <t>Розрахунок витрат на розпломбування та опломбування 1 приладу комерційного обліку води</t>
  </si>
  <si>
    <t>Од.виміру</t>
  </si>
  <si>
    <t>Строк використання (місяців)</t>
  </si>
  <si>
    <t>Кількість на рік</t>
  </si>
  <si>
    <t xml:space="preserve">Костюм бавовняний </t>
  </si>
  <si>
    <t>шт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</si>
  <si>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</si>
  <si>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</si>
  <si>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</si>
  <si>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</si>
  <si>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</si>
  <si>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до зносу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</si>
  <si>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</si>
  <si>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</si>
  <si>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</si>
  <si>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</si>
  <si>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</si>
  <si>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</si>
  <si>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годин</t>
  </si>
  <si>
    <t>грн.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</si>
  <si>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</si>
  <si>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1.3.3</t>
  </si>
  <si>
    <t>Інші витрати (спецодяг, спецвзуття та інші ЗІЗ)</t>
  </si>
  <si>
    <t xml:space="preserve">Розрахунок внеску за заміну 1 вузла комерційного обліку теплової енергії </t>
  </si>
  <si>
    <t>Загальновиробничі витрати</t>
  </si>
  <si>
    <t>Адміністративні витрати, витрати на збут, інші витрати, пов'язані з заміною вузлів комерційного обліку</t>
  </si>
  <si>
    <t>Інші операційні витрати</t>
  </si>
  <si>
    <t>4.</t>
  </si>
  <si>
    <t>5.</t>
  </si>
  <si>
    <t>6.</t>
  </si>
  <si>
    <t>7.</t>
  </si>
  <si>
    <t>8.</t>
  </si>
  <si>
    <t xml:space="preserve">Розрахунок прямих матеріальних витрат у вартості заміни 1 лічильника вузла комерційного обліку теплової енергії </t>
  </si>
  <si>
    <t xml:space="preserve">Розрахунок прямих матеріальних витрат у вартості заміни 1 лічильника вузла комерційного обліку води </t>
  </si>
  <si>
    <t>Додаток №  2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</si>
  <si>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</si>
  <si>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</si>
  <si>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</si>
  <si>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Додаток № 2.1</t>
  </si>
  <si>
    <t>Додаток № 3</t>
  </si>
  <si>
    <t>Витрати з розрахунку на 1 вузол комерційного обліку</t>
  </si>
  <si>
    <t>Додаток № 4</t>
  </si>
  <si>
    <t>Розрахунок інших витрат 
(спецодяг, спецвзуття та інші ЗІЗ  персоналу, що виконує заміну вузла комерційного обліку)</t>
  </si>
  <si>
    <t xml:space="preserve"> ''____''_____________  2020 року</t>
  </si>
  <si>
    <t xml:space="preserve"> ''____''________________    2020 року</t>
  </si>
  <si>
    <t>Сума витрат</t>
  </si>
  <si>
    <t>9.</t>
  </si>
  <si>
    <t>10.</t>
  </si>
  <si>
    <t>11.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</si>
  <si>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</si>
  <si>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Кількість пломпб</t>
  </si>
  <si>
    <t>Витрати , грн</t>
  </si>
  <si>
    <t>Внесок з розрахунку на квартал без ПДВ</t>
  </si>
  <si>
    <r>
      <t>Період відшкодування витрат</t>
    </r>
    <r>
      <rPr>
        <sz val="11"/>
        <color indexed="8"/>
        <rFont val="Times New Roman"/>
        <family val="1"/>
        <charset val="204"/>
      </rPr>
      <t xml:space="preserve"> (розстрочення періоду платежів)</t>
    </r>
  </si>
  <si>
    <t>Кількість пломб</t>
  </si>
  <si>
    <t>Собівартість послуги 
(1 пломба), грн</t>
  </si>
  <si>
    <t>Кількість встановлених лічильників,  шт</t>
  </si>
  <si>
    <t>Разом витрат на рік на 1 працівника</t>
  </si>
  <si>
    <t>Разом витрат на рік на 2 працівників</t>
  </si>
  <si>
    <t>Норма тривалості робочого часу на рік (з розрахунку на 2 працівників)</t>
  </si>
  <si>
    <t>Витрати робочого часу на заміну 1 вузла комерційного обліку (монтаж, демонтаж, з розрахунку на 2 працівників)</t>
  </si>
  <si>
    <t>Планований прибуток (3%)</t>
  </si>
  <si>
    <t xml:space="preserve">Середня вартість 1 людино-години </t>
  </si>
  <si>
    <t xml:space="preserve">Розпломбування, опломбування приладу обліку виконує інженер ЦТПК. Витрати розраховані відповідно до  кількості пломб та собівартості даних послуг (наказ №          від     .     .2020). </t>
  </si>
  <si>
    <t>Структура внеску за заміну одного вузла комерційного обліку води</t>
  </si>
  <si>
    <t>Керуючий справами</t>
  </si>
  <si>
    <t>виконавчого комітету</t>
  </si>
  <si>
    <t>Сергій  ДЕНЕГА</t>
  </si>
  <si>
    <t>Додаток 6                                                                            до рішення виконавчого комітету                                                    21 грудня 2020 року №284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</si>
</sst>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4" fillId="0" borderId="0"/>
    <xf numFmtId="0" fontId="8" fillId="0" borderId="0"/>
    <xf numFmtId="0" fontId="34" fillId="0" borderId="0"/>
    <xf numFmtId="0" fontId="33" fillId="0" borderId="0"/>
    <xf numFmtId="0" fontId="28" fillId="0" borderId="0"/>
    <xf numFmtId="0" fontId="4" fillId="0" borderId="0"/>
  </cellStyleXfs>
  <cellXfs count="18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6" applyNumberFormat="1" applyFont="1" applyFill="1"/>
    <xf numFmtId="0" fontId="2" fillId="0" borderId="0" xfId="6" applyNumberFormat="1" applyFont="1" applyFill="1"/>
    <xf numFmtId="0" fontId="5" fillId="0" borderId="0" xfId="6" applyNumberFormat="1" applyFont="1" applyFill="1" applyAlignment="1"/>
    <xf numFmtId="0" fontId="6" fillId="0" borderId="0" xfId="6" applyNumberFormat="1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/>
    <xf numFmtId="1" fontId="2" fillId="0" borderId="1" xfId="6" applyNumberFormat="1" applyFont="1" applyFill="1" applyBorder="1" applyAlignment="1">
      <alignment horizontal="center"/>
    </xf>
    <xf numFmtId="1" fontId="5" fillId="0" borderId="1" xfId="6" applyNumberFormat="1" applyFont="1" applyFill="1" applyBorder="1" applyAlignment="1">
      <alignment horizontal="center"/>
    </xf>
    <xf numFmtId="1" fontId="2" fillId="2" borderId="1" xfId="6" applyNumberFormat="1" applyFont="1" applyFill="1" applyBorder="1" applyAlignment="1">
      <alignment horizontal="center"/>
    </xf>
    <xf numFmtId="0" fontId="16" fillId="0" borderId="1" xfId="6" applyNumberFormat="1" applyFont="1" applyFill="1" applyBorder="1" applyAlignment="1">
      <alignment horizontal="center"/>
    </xf>
    <xf numFmtId="0" fontId="17" fillId="2" borderId="1" xfId="6" applyNumberFormat="1" applyFont="1" applyFill="1" applyBorder="1" applyAlignment="1">
      <alignment horizontal="center" vertical="center" wrapText="1"/>
    </xf>
    <xf numFmtId="0" fontId="18" fillId="0" borderId="0" xfId="6" applyNumberFormat="1" applyFont="1" applyFill="1" applyBorder="1" applyAlignment="1">
      <alignment horizontal="center" vertical="center"/>
    </xf>
    <xf numFmtId="0" fontId="19" fillId="0" borderId="0" xfId="6" applyNumberFormat="1" applyFont="1" applyFill="1" applyBorder="1" applyAlignment="1">
      <alignment horizontal="center" vertical="center"/>
    </xf>
    <xf numFmtId="0" fontId="20" fillId="0" borderId="0" xfId="6" applyNumberFormat="1" applyFont="1" applyFill="1" applyBorder="1" applyAlignment="1">
      <alignment horizontal="center" vertical="center"/>
    </xf>
    <xf numFmtId="0" fontId="6" fillId="0" borderId="0" xfId="6" applyNumberFormat="1" applyFont="1" applyFill="1" applyAlignment="1">
      <alignment horizontal="left"/>
    </xf>
    <xf numFmtId="1" fontId="6" fillId="0" borderId="0" xfId="6" applyNumberFormat="1" applyFont="1" applyFill="1" applyAlignment="1">
      <alignment horizontal="right"/>
    </xf>
    <xf numFmtId="0" fontId="6" fillId="0" borderId="0" xfId="6" applyNumberFormat="1" applyFont="1" applyFill="1" applyAlignment="1"/>
    <xf numFmtId="1" fontId="21" fillId="2" borderId="1" xfId="6" applyNumberFormat="1" applyFont="1" applyFill="1" applyBorder="1" applyAlignment="1"/>
    <xf numFmtId="0" fontId="6" fillId="0" borderId="0" xfId="0" applyFont="1"/>
    <xf numFmtId="0" fontId="3" fillId="0" borderId="0" xfId="0" applyFont="1" applyAlignment="1"/>
    <xf numFmtId="0" fontId="6" fillId="0" borderId="0" xfId="0" applyFont="1" applyFill="1" applyAlignment="1"/>
    <xf numFmtId="0" fontId="3" fillId="0" borderId="0" xfId="0" applyFont="1"/>
    <xf numFmtId="2" fontId="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Fill="1"/>
    <xf numFmtId="0" fontId="13" fillId="0" borderId="0" xfId="0" applyFont="1" applyAlignment="1"/>
    <xf numFmtId="2" fontId="7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3" fillId="0" borderId="0" xfId="3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7" fillId="2" borderId="1" xfId="6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/>
    </xf>
    <xf numFmtId="2" fontId="13" fillId="2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0" fontId="1" fillId="2" borderId="1" xfId="3" applyFont="1" applyFill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10" fillId="0" borderId="4" xfId="0" applyFont="1" applyBorder="1" applyAlignment="1">
      <alignment vertical="top" wrapText="1"/>
    </xf>
    <xf numFmtId="1" fontId="7" fillId="2" borderId="1" xfId="6" applyNumberFormat="1" applyFont="1" applyFill="1" applyBorder="1" applyAlignment="1">
      <alignment vertical="center" wrapText="1"/>
    </xf>
    <xf numFmtId="1" fontId="7" fillId="2" borderId="1" xfId="6" applyNumberFormat="1" applyFont="1" applyFill="1" applyBorder="1" applyAlignment="1">
      <alignment horizontal="center" vertical="center"/>
    </xf>
    <xf numFmtId="1" fontId="7" fillId="0" borderId="1" xfId="6" applyNumberFormat="1" applyFont="1" applyFill="1" applyBorder="1" applyAlignment="1">
      <alignment horizontal="center" vertical="center"/>
    </xf>
    <xf numFmtId="1" fontId="16" fillId="0" borderId="1" xfId="6" applyNumberFormat="1" applyFont="1" applyFill="1" applyBorder="1" applyAlignment="1">
      <alignment horizontal="center" vertical="center"/>
    </xf>
    <xf numFmtId="2" fontId="16" fillId="0" borderId="1" xfId="6" applyNumberFormat="1" applyFont="1" applyFill="1" applyBorder="1" applyAlignment="1">
      <alignment horizontal="center" vertical="center"/>
    </xf>
    <xf numFmtId="0" fontId="5" fillId="0" borderId="0" xfId="6" applyNumberFormat="1" applyFont="1" applyFill="1" applyAlignment="1">
      <alignment vertical="center"/>
    </xf>
    <xf numFmtId="0" fontId="13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0" xfId="5" applyFont="1"/>
    <xf numFmtId="0" fontId="6" fillId="0" borderId="0" xfId="5" applyFont="1" applyAlignment="1">
      <alignment horizontal="center"/>
    </xf>
    <xf numFmtId="0" fontId="7" fillId="0" borderId="1" xfId="5" applyFont="1" applyBorder="1" applyAlignment="1">
      <alignment horizontal="center" vertical="center" wrapText="1"/>
    </xf>
    <xf numFmtId="2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2" fontId="6" fillId="0" borderId="1" xfId="5" applyNumberFormat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6" applyNumberFormat="1" applyFont="1" applyFill="1" applyBorder="1" applyAlignment="1"/>
    <xf numFmtId="0" fontId="1" fillId="0" borderId="0" xfId="0" applyFont="1" applyAlignment="1">
      <alignment horizontal="right"/>
    </xf>
    <xf numFmtId="1" fontId="6" fillId="0" borderId="0" xfId="6" applyNumberFormat="1" applyFont="1" applyFill="1" applyAlignment="1">
      <alignment horizontal="right" vertical="center"/>
    </xf>
    <xf numFmtId="0" fontId="25" fillId="0" borderId="1" xfId="6" applyNumberFormat="1" applyFont="1" applyFill="1" applyBorder="1" applyAlignment="1">
      <alignment horizontal="center"/>
    </xf>
    <xf numFmtId="1" fontId="16" fillId="0" borderId="1" xfId="6" applyNumberFormat="1" applyFont="1" applyFill="1" applyBorder="1" applyAlignment="1">
      <alignment horizontal="center"/>
    </xf>
    <xf numFmtId="1" fontId="25" fillId="0" borderId="1" xfId="6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10"/>
    </xf>
    <xf numFmtId="0" fontId="15" fillId="0" borderId="0" xfId="0" applyFont="1" applyFill="1" applyAlignment="1">
      <alignment horizontal="left" indent="10"/>
    </xf>
    <xf numFmtId="0" fontId="15" fillId="0" borderId="0" xfId="0" applyFont="1" applyBorder="1" applyAlignment="1">
      <alignment horizontal="left" indent="1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3" fillId="0" borderId="0" xfId="3" applyNumberFormat="1" applyFont="1"/>
    <xf numFmtId="0" fontId="6" fillId="0" borderId="0" xfId="0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1" fontId="5" fillId="0" borderId="1" xfId="0" applyNumberFormat="1" applyFont="1" applyBorder="1"/>
    <xf numFmtId="2" fontId="5" fillId="0" borderId="1" xfId="0" applyNumberFormat="1" applyFont="1" applyBorder="1"/>
    <xf numFmtId="0" fontId="2" fillId="0" borderId="1" xfId="6" applyNumberFormat="1" applyFont="1" applyFill="1" applyBorder="1" applyAlignment="1">
      <alignment horizontal="center"/>
    </xf>
    <xf numFmtId="1" fontId="5" fillId="2" borderId="1" xfId="6" applyNumberFormat="1" applyFont="1" applyFill="1" applyBorder="1" applyAlignment="1">
      <alignment horizontal="center"/>
    </xf>
    <xf numFmtId="1" fontId="7" fillId="0" borderId="2" xfId="6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0" fontId="15" fillId="0" borderId="5" xfId="0" applyFont="1" applyFill="1" applyBorder="1"/>
    <xf numFmtId="0" fontId="31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5" fillId="0" borderId="0" xfId="3" applyFont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2" fontId="24" fillId="0" borderId="2" xfId="3" applyNumberFormat="1" applyFont="1" applyBorder="1" applyAlignment="1">
      <alignment horizontal="center" vertical="center"/>
    </xf>
    <xf numFmtId="2" fontId="24" fillId="0" borderId="3" xfId="3" applyNumberFormat="1" applyFont="1" applyBorder="1" applyAlignment="1">
      <alignment horizontal="center" vertical="center"/>
    </xf>
    <xf numFmtId="2" fontId="24" fillId="0" borderId="5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7" fillId="0" borderId="4" xfId="0" applyFont="1" applyFill="1" applyBorder="1" applyAlignment="1">
      <alignment horizontal="left" wrapText="1"/>
    </xf>
    <xf numFmtId="0" fontId="11" fillId="0" borderId="0" xfId="6" applyNumberFormat="1" applyFont="1" applyFill="1" applyBorder="1" applyAlignment="1">
      <alignment horizontal="center" vertical="center"/>
    </xf>
    <xf numFmtId="0" fontId="16" fillId="0" borderId="6" xfId="6" applyNumberFormat="1" applyFont="1" applyFill="1" applyBorder="1" applyAlignment="1">
      <alignment horizontal="center" vertical="center" wrapText="1"/>
    </xf>
    <xf numFmtId="0" fontId="16" fillId="0" borderId="7" xfId="6" applyNumberFormat="1" applyFont="1" applyFill="1" applyBorder="1" applyAlignment="1">
      <alignment horizontal="center" vertical="center" wrapText="1"/>
    </xf>
    <xf numFmtId="0" fontId="16" fillId="0" borderId="8" xfId="6" applyNumberFormat="1" applyFont="1" applyFill="1" applyBorder="1" applyAlignment="1">
      <alignment horizontal="center" vertical="center" wrapText="1"/>
    </xf>
    <xf numFmtId="0" fontId="17" fillId="0" borderId="6" xfId="6" applyNumberFormat="1" applyFont="1" applyFill="1" applyBorder="1" applyAlignment="1">
      <alignment horizontal="center" vertical="center" wrapText="1"/>
    </xf>
    <xf numFmtId="0" fontId="17" fillId="0" borderId="7" xfId="6" applyNumberFormat="1" applyFont="1" applyFill="1" applyBorder="1" applyAlignment="1">
      <alignment horizontal="center" vertical="center" wrapText="1"/>
    </xf>
    <xf numFmtId="0" fontId="17" fillId="0" borderId="8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 wrapText="1"/>
    </xf>
    <xf numFmtId="0" fontId="17" fillId="2" borderId="3" xfId="6" applyNumberFormat="1" applyFont="1" applyFill="1" applyBorder="1" applyAlignment="1">
      <alignment horizontal="center" vertical="center" wrapText="1"/>
    </xf>
    <xf numFmtId="0" fontId="17" fillId="2" borderId="5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/>
    </xf>
    <xf numFmtId="0" fontId="17" fillId="2" borderId="3" xfId="6" applyNumberFormat="1" applyFont="1" applyFill="1" applyBorder="1" applyAlignment="1">
      <alignment horizontal="center" vertical="center"/>
    </xf>
    <xf numFmtId="0" fontId="17" fillId="2" borderId="5" xfId="6" applyNumberFormat="1" applyFont="1" applyFill="1" applyBorder="1" applyAlignment="1">
      <alignment horizontal="center" vertical="center"/>
    </xf>
    <xf numFmtId="0" fontId="17" fillId="2" borderId="9" xfId="6" applyNumberFormat="1" applyFont="1" applyFill="1" applyBorder="1" applyAlignment="1">
      <alignment horizontal="center" vertical="center" wrapText="1"/>
    </xf>
    <xf numFmtId="0" fontId="17" fillId="2" borderId="10" xfId="6" applyNumberFormat="1" applyFont="1" applyFill="1" applyBorder="1" applyAlignment="1">
      <alignment horizontal="center" vertical="center" wrapText="1"/>
    </xf>
    <xf numFmtId="0" fontId="17" fillId="2" borderId="11" xfId="6" applyNumberFormat="1" applyFont="1" applyFill="1" applyBorder="1" applyAlignment="1">
      <alignment horizontal="center" vertical="center" wrapText="1"/>
    </xf>
    <xf numFmtId="0" fontId="17" fillId="2" borderId="12" xfId="6" applyNumberFormat="1" applyFont="1" applyFill="1" applyBorder="1" applyAlignment="1">
      <alignment horizontal="center" vertical="center" wrapText="1"/>
    </xf>
    <xf numFmtId="1" fontId="17" fillId="2" borderId="6" xfId="6" applyNumberFormat="1" applyFont="1" applyFill="1" applyBorder="1" applyAlignment="1">
      <alignment horizontal="center" vertical="center" wrapText="1"/>
    </xf>
    <xf numFmtId="1" fontId="17" fillId="2" borderId="7" xfId="6" applyNumberFormat="1" applyFont="1" applyFill="1" applyBorder="1" applyAlignment="1">
      <alignment horizontal="center" vertical="center" wrapText="1"/>
    </xf>
    <xf numFmtId="1" fontId="17" fillId="2" borderId="8" xfId="6" applyNumberFormat="1" applyFont="1" applyFill="1" applyBorder="1" applyAlignment="1">
      <alignment horizontal="center" vertical="center" wrapText="1"/>
    </xf>
    <xf numFmtId="0" fontId="21" fillId="0" borderId="9" xfId="6" applyNumberFormat="1" applyFont="1" applyFill="1" applyBorder="1" applyAlignment="1">
      <alignment horizontal="center" vertical="center" wrapText="1"/>
    </xf>
    <xf numFmtId="0" fontId="21" fillId="0" borderId="13" xfId="6" applyNumberFormat="1" applyFont="1" applyFill="1" applyBorder="1" applyAlignment="1">
      <alignment horizontal="center" vertical="center" wrapText="1"/>
    </xf>
    <xf numFmtId="0" fontId="21" fillId="0" borderId="11" xfId="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indent="10"/>
    </xf>
    <xf numFmtId="0" fontId="17" fillId="2" borderId="6" xfId="6" applyNumberFormat="1" applyFont="1" applyFill="1" applyBorder="1" applyAlignment="1">
      <alignment horizontal="center" vertical="center" wrapText="1"/>
    </xf>
    <xf numFmtId="0" fontId="17" fillId="2" borderId="7" xfId="6" applyNumberFormat="1" applyFont="1" applyFill="1" applyBorder="1" applyAlignment="1">
      <alignment horizontal="center" vertical="center" wrapText="1"/>
    </xf>
    <xf numFmtId="0" fontId="17" fillId="2" borderId="8" xfId="6" applyNumberFormat="1" applyFont="1" applyFill="1" applyBorder="1" applyAlignment="1">
      <alignment horizontal="center" vertical="center" wrapText="1"/>
    </xf>
    <xf numFmtId="0" fontId="17" fillId="2" borderId="1" xfId="6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9"/>
  <sheetViews>
    <sheetView view="pageBreakPreview" zoomScale="90" zoomScaleSheetLayoutView="90" workbookViewId="0">
      <selection activeCell="B23" sqref="B23"/>
    </sheetView>
  </sheetViews>
  <sheetFormatPr defaultColWidth="9.140625" defaultRowHeight="15"/>
  <cols>
    <col min="1" max="1" width="4.5703125" style="9" customWidth="1"/>
    <col min="2" max="2" width="53" style="1" customWidth="1"/>
    <col min="3" max="3" width="10.85546875" style="1" customWidth="1"/>
    <col min="4" max="4" width="20.85546875" style="9" customWidth="1"/>
    <col min="5" max="5" width="6" style="9" customWidth="1"/>
    <col min="6" max="6" width="8.140625" style="1" customWidth="1"/>
    <col min="7" max="16384" width="9.140625" style="1"/>
  </cols>
  <sheetData>
    <row r="1" spans="1:7" ht="15.75">
      <c r="A1" s="11" t="s">
        <v>6</v>
      </c>
      <c r="B1" s="10"/>
      <c r="C1" s="11" t="s">
        <v>7</v>
      </c>
      <c r="D1" s="10"/>
      <c r="E1" s="10"/>
      <c r="F1" s="10"/>
      <c r="G1" s="10"/>
    </row>
    <row r="2" spans="1:7" ht="15.75">
      <c r="A2" s="11" t="s">
        <v>8</v>
      </c>
      <c r="B2" s="10"/>
      <c r="C2" s="11" t="s">
        <v>9</v>
      </c>
      <c r="D2" s="10"/>
      <c r="E2" s="10"/>
      <c r="F2" s="10"/>
      <c r="G2" s="10"/>
    </row>
    <row r="3" spans="1:7" ht="15.75">
      <c r="A3" s="11" t="s">
        <v>12</v>
      </c>
      <c r="B3" s="10"/>
      <c r="C3" s="11" t="s">
        <v>10</v>
      </c>
      <c r="D3" s="10"/>
      <c r="E3" s="10"/>
      <c r="F3" s="10"/>
      <c r="G3" s="10"/>
    </row>
    <row r="4" spans="1:7" ht="26.25" customHeight="1">
      <c r="A4" s="11" t="s">
        <v>40</v>
      </c>
      <c r="B4" s="10"/>
      <c r="C4" s="11" t="s">
        <v>41</v>
      </c>
      <c r="D4" s="10"/>
      <c r="E4" s="10"/>
      <c r="F4" s="10"/>
      <c r="G4" s="10"/>
    </row>
    <row r="5" spans="1:7" ht="15.75">
      <c r="A5" s="11" t="s">
        <v>133</v>
      </c>
      <c r="B5" s="10"/>
      <c r="C5" s="11" t="s">
        <v>134</v>
      </c>
      <c r="D5" s="10"/>
      <c r="E5" s="10"/>
      <c r="F5" s="10"/>
      <c r="G5" s="10"/>
    </row>
    <row r="9" spans="1:7" ht="15.75">
      <c r="A9" s="143" t="s">
        <v>113</v>
      </c>
      <c r="B9" s="143"/>
      <c r="C9" s="143"/>
      <c r="D9" s="143"/>
      <c r="E9" s="45"/>
      <c r="F9" s="45"/>
    </row>
    <row r="10" spans="1:7" ht="15.75">
      <c r="A10" s="45"/>
      <c r="B10" s="85"/>
      <c r="C10" s="45"/>
      <c r="D10" s="45"/>
      <c r="E10" s="45"/>
      <c r="F10" s="45"/>
    </row>
    <row r="12" spans="1:7" s="3" customFormat="1" ht="47.25" customHeight="1">
      <c r="A12" s="2" t="s">
        <v>0</v>
      </c>
      <c r="B12" s="2" t="s">
        <v>2</v>
      </c>
      <c r="C12" s="56" t="s">
        <v>1</v>
      </c>
      <c r="D12" s="2" t="s">
        <v>135</v>
      </c>
      <c r="E12" s="113"/>
    </row>
    <row r="13" spans="1:7" s="118" customFormat="1" ht="22.5" customHeight="1">
      <c r="A13" s="55" t="s">
        <v>52</v>
      </c>
      <c r="B13" s="54" t="s">
        <v>139</v>
      </c>
      <c r="C13" s="57" t="s">
        <v>4</v>
      </c>
      <c r="D13" s="119">
        <f>D14+D15+D16+D20</f>
        <v>706.41999999999985</v>
      </c>
      <c r="E13" s="114"/>
    </row>
    <row r="14" spans="1:7" s="68" customFormat="1" ht="22.5" customHeight="1">
      <c r="A14" s="14" t="s">
        <v>53</v>
      </c>
      <c r="B14" s="5" t="s">
        <v>73</v>
      </c>
      <c r="C14" s="58" t="s">
        <v>4</v>
      </c>
      <c r="D14" s="13">
        <f>матерТ!B8</f>
        <v>424.21</v>
      </c>
      <c r="E14" s="115"/>
    </row>
    <row r="15" spans="1:7" s="68" customFormat="1" ht="22.5" customHeight="1">
      <c r="A15" s="14" t="s">
        <v>54</v>
      </c>
      <c r="B15" s="5" t="s">
        <v>13</v>
      </c>
      <c r="C15" s="58" t="s">
        <v>4</v>
      </c>
      <c r="D15" s="13">
        <f>'1_ВОП'!H8</f>
        <v>138.12</v>
      </c>
      <c r="E15" s="115"/>
    </row>
    <row r="16" spans="1:7" s="68" customFormat="1" ht="22.5" customHeight="1">
      <c r="A16" s="14" t="s">
        <v>56</v>
      </c>
      <c r="B16" s="5" t="s">
        <v>55</v>
      </c>
      <c r="C16" s="58" t="s">
        <v>4</v>
      </c>
      <c r="D16" s="13">
        <f>SUM(D17:D19)</f>
        <v>118.81</v>
      </c>
      <c r="E16" s="115"/>
    </row>
    <row r="17" spans="1:6" s="68" customFormat="1" ht="30">
      <c r="A17" s="14" t="s">
        <v>57</v>
      </c>
      <c r="B17" s="5" t="s">
        <v>42</v>
      </c>
      <c r="C17" s="58" t="s">
        <v>4</v>
      </c>
      <c r="D17" s="13">
        <f>ROUND(D15*0.22,2)</f>
        <v>30.39</v>
      </c>
      <c r="E17" s="115"/>
    </row>
    <row r="18" spans="1:6" s="68" customFormat="1" ht="22.5" customHeight="1">
      <c r="A18" s="14" t="s">
        <v>58</v>
      </c>
      <c r="B18" s="5" t="s">
        <v>81</v>
      </c>
      <c r="C18" s="58" t="s">
        <v>4</v>
      </c>
      <c r="D18" s="13">
        <f>'опломб Т'!E9</f>
        <v>85.11</v>
      </c>
      <c r="E18" s="115"/>
    </row>
    <row r="19" spans="1:6" s="68" customFormat="1" ht="22.5" customHeight="1">
      <c r="A19" s="14" t="s">
        <v>111</v>
      </c>
      <c r="B19" s="5" t="s">
        <v>112</v>
      </c>
      <c r="C19" s="58" t="s">
        <v>4</v>
      </c>
      <c r="D19" s="13">
        <f>спецодяг!F21</f>
        <v>3.31</v>
      </c>
      <c r="E19" s="116"/>
    </row>
    <row r="20" spans="1:6" s="68" customFormat="1" ht="22.5" customHeight="1">
      <c r="A20" s="14" t="s">
        <v>59</v>
      </c>
      <c r="B20" s="5" t="s">
        <v>114</v>
      </c>
      <c r="C20" s="58" t="s">
        <v>4</v>
      </c>
      <c r="D20" s="13">
        <f>ROUND(D15*18.3%,2)</f>
        <v>25.28</v>
      </c>
      <c r="E20" s="116"/>
      <c r="F20" s="65"/>
    </row>
    <row r="21" spans="1:6" s="118" customFormat="1" ht="42.75">
      <c r="A21" s="119" t="s">
        <v>3</v>
      </c>
      <c r="B21" s="54" t="s">
        <v>115</v>
      </c>
      <c r="C21" s="57" t="s">
        <v>4</v>
      </c>
      <c r="D21" s="119">
        <v>0</v>
      </c>
      <c r="E21" s="114"/>
      <c r="F21" s="120"/>
    </row>
    <row r="22" spans="1:6" s="118" customFormat="1" ht="22.5" customHeight="1">
      <c r="A22" s="121" t="s">
        <v>60</v>
      </c>
      <c r="B22" s="122" t="s">
        <v>116</v>
      </c>
      <c r="C22" s="57"/>
      <c r="D22" s="119">
        <v>0</v>
      </c>
      <c r="E22" s="114"/>
    </row>
    <row r="23" spans="1:6" s="118" customFormat="1" ht="22.5" customHeight="1">
      <c r="A23" s="121" t="s">
        <v>117</v>
      </c>
      <c r="B23" s="122" t="s">
        <v>61</v>
      </c>
      <c r="C23" s="57" t="s">
        <v>4</v>
      </c>
      <c r="D23" s="119">
        <f>D13+D21+D22</f>
        <v>706.41999999999985</v>
      </c>
      <c r="E23" s="114"/>
    </row>
    <row r="24" spans="1:6" s="118" customFormat="1" ht="22.5" customHeight="1">
      <c r="A24" s="121" t="s">
        <v>118</v>
      </c>
      <c r="B24" s="54" t="s">
        <v>151</v>
      </c>
      <c r="C24" s="57" t="s">
        <v>4</v>
      </c>
      <c r="D24" s="119">
        <f>ROUND(D23*0.03,2)</f>
        <v>21.19</v>
      </c>
      <c r="E24" s="114"/>
    </row>
    <row r="25" spans="1:6" s="118" customFormat="1" ht="27.75" customHeight="1">
      <c r="A25" s="55" t="s">
        <v>119</v>
      </c>
      <c r="B25" s="54" t="s">
        <v>51</v>
      </c>
      <c r="C25" s="57" t="s">
        <v>4</v>
      </c>
      <c r="D25" s="119">
        <f>D23+D24</f>
        <v>727.6099999999999</v>
      </c>
      <c r="E25" s="114"/>
    </row>
    <row r="26" spans="1:6" s="118" customFormat="1" ht="34.5" customHeight="1">
      <c r="A26" s="121" t="s">
        <v>120</v>
      </c>
      <c r="B26" s="54" t="s">
        <v>143</v>
      </c>
      <c r="C26" s="57" t="s">
        <v>87</v>
      </c>
      <c r="D26" s="89">
        <v>5</v>
      </c>
      <c r="E26" s="117"/>
    </row>
    <row r="27" spans="1:6" s="118" customFormat="1" ht="22.5" customHeight="1">
      <c r="A27" s="55" t="s">
        <v>121</v>
      </c>
      <c r="B27" s="54" t="s">
        <v>88</v>
      </c>
      <c r="C27" s="57" t="s">
        <v>4</v>
      </c>
      <c r="D27" s="119">
        <f>ROUND(D25/D26,2)</f>
        <v>145.52000000000001</v>
      </c>
      <c r="E27" s="114"/>
      <c r="F27" s="125"/>
    </row>
    <row r="28" spans="1:6" s="68" customFormat="1" ht="22.5" customHeight="1">
      <c r="A28" s="121" t="s">
        <v>136</v>
      </c>
      <c r="B28" s="54" t="s">
        <v>49</v>
      </c>
      <c r="C28" s="57" t="s">
        <v>4</v>
      </c>
      <c r="D28" s="119">
        <f>ROUND(D27/12,2)</f>
        <v>12.13</v>
      </c>
      <c r="E28" s="114"/>
    </row>
    <row r="29" spans="1:6" s="68" customFormat="1" ht="22.5" customHeight="1">
      <c r="A29" s="55" t="s">
        <v>137</v>
      </c>
      <c r="B29" s="54" t="s">
        <v>50</v>
      </c>
      <c r="C29" s="57"/>
      <c r="D29" s="89">
        <v>1</v>
      </c>
      <c r="E29" s="117"/>
    </row>
    <row r="30" spans="1:6" s="68" customFormat="1" ht="22.5" customHeight="1">
      <c r="A30" s="55" t="s">
        <v>138</v>
      </c>
      <c r="B30" s="54" t="s">
        <v>142</v>
      </c>
      <c r="C30" s="57" t="s">
        <v>4</v>
      </c>
      <c r="D30" s="119">
        <f>D28*3</f>
        <v>36.39</v>
      </c>
      <c r="E30" s="114"/>
    </row>
    <row r="33" spans="1:21" s="15" customFormat="1" ht="15.75">
      <c r="A33" s="52"/>
      <c r="B33" s="16" t="s">
        <v>14</v>
      </c>
      <c r="D33" s="16" t="s">
        <v>39</v>
      </c>
      <c r="E33" s="16"/>
      <c r="H33" s="46"/>
    </row>
    <row r="34" spans="1:21" s="15" customFormat="1" ht="15.75">
      <c r="A34" s="52"/>
      <c r="B34" s="17"/>
      <c r="D34" s="16"/>
      <c r="E34" s="16"/>
      <c r="H34" s="46"/>
    </row>
    <row r="35" spans="1:21" s="15" customFormat="1" ht="15.75">
      <c r="A35" s="52"/>
      <c r="B35" s="16" t="s">
        <v>15</v>
      </c>
      <c r="D35" s="16" t="s">
        <v>18</v>
      </c>
      <c r="E35" s="16"/>
    </row>
    <row r="36" spans="1:21" s="15" customFormat="1" ht="15.75">
      <c r="A36" s="52"/>
      <c r="B36" s="17"/>
      <c r="D36" s="16"/>
      <c r="E36" s="16"/>
    </row>
    <row r="37" spans="1:21" s="15" customFormat="1" ht="15.75">
      <c r="A37" s="52"/>
      <c r="B37" s="16" t="s">
        <v>16</v>
      </c>
      <c r="D37" s="16" t="s">
        <v>35</v>
      </c>
      <c r="E37" s="16"/>
    </row>
    <row r="38" spans="1:21" s="10" customFormat="1" ht="15.75">
      <c r="A38" s="53"/>
      <c r="U38" s="12"/>
    </row>
    <row r="39" spans="1:21" s="10" customFormat="1" ht="15.75">
      <c r="A39" s="53"/>
      <c r="U39" s="12"/>
    </row>
  </sheetData>
  <mergeCells count="1">
    <mergeCell ref="A9:D9"/>
  </mergeCells>
  <phoneticPr fontId="29" type="noConversion"/>
  <pageMargins left="0.81" right="0.19685039370078741" top="0.3" bottom="0.24" header="0.31496062992125984" footer="0.31496062992125984"/>
  <pageSetup paperSize="9" scale="97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7"/>
  <sheetViews>
    <sheetView tabSelected="1" view="pageBreakPreview" zoomScale="90" zoomScaleSheetLayoutView="80" workbookViewId="0">
      <selection activeCell="C1" sqref="C1:E1"/>
    </sheetView>
  </sheetViews>
  <sheetFormatPr defaultColWidth="9.140625" defaultRowHeight="15"/>
  <cols>
    <col min="1" max="1" width="5.7109375" style="9" customWidth="1"/>
    <col min="2" max="2" width="52.85546875" style="1" customWidth="1"/>
    <col min="3" max="3" width="11.42578125" style="1" customWidth="1"/>
    <col min="4" max="4" width="19.85546875" style="9" customWidth="1"/>
    <col min="5" max="5" width="5.5703125" style="9" customWidth="1"/>
    <col min="6" max="6" width="8.140625" style="1" customWidth="1"/>
    <col min="7" max="16384" width="9.140625" style="1"/>
  </cols>
  <sheetData>
    <row r="1" spans="1:7" ht="75" customHeight="1">
      <c r="A1" s="11"/>
      <c r="B1" s="10"/>
      <c r="C1" s="144" t="s">
        <v>158</v>
      </c>
      <c r="D1" s="145"/>
      <c r="E1" s="145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6" spans="1:7" ht="15.75">
      <c r="B6" s="85"/>
      <c r="C6" s="45"/>
      <c r="D6" s="45"/>
      <c r="E6" s="45"/>
      <c r="F6" s="45"/>
    </row>
    <row r="7" spans="1:7" ht="15.75">
      <c r="A7" s="143" t="s">
        <v>154</v>
      </c>
      <c r="B7" s="143"/>
      <c r="C7" s="143"/>
      <c r="D7" s="143"/>
      <c r="E7" s="45"/>
      <c r="F7" s="45"/>
    </row>
    <row r="8" spans="1:7" ht="15.75">
      <c r="A8" s="45"/>
      <c r="B8" s="85"/>
      <c r="C8" s="45"/>
      <c r="D8" s="45"/>
      <c r="E8" s="45"/>
      <c r="F8" s="45"/>
    </row>
    <row r="10" spans="1:7" s="3" customFormat="1" ht="47.25" customHeight="1">
      <c r="A10" s="2" t="s">
        <v>0</v>
      </c>
      <c r="B10" s="2" t="s">
        <v>2</v>
      </c>
      <c r="C10" s="56" t="s">
        <v>1</v>
      </c>
      <c r="D10" s="2" t="s">
        <v>135</v>
      </c>
      <c r="E10" s="113"/>
    </row>
    <row r="11" spans="1:7" s="118" customFormat="1" ht="22.5" customHeight="1">
      <c r="A11" s="55" t="s">
        <v>52</v>
      </c>
      <c r="B11" s="54" t="s">
        <v>139</v>
      </c>
      <c r="C11" s="57" t="s">
        <v>4</v>
      </c>
      <c r="D11" s="119">
        <f>D12+D13+D14+D18</f>
        <v>240.6</v>
      </c>
      <c r="E11" s="114"/>
    </row>
    <row r="12" spans="1:7" s="68" customFormat="1" ht="22.5" customHeight="1">
      <c r="A12" s="14" t="s">
        <v>53</v>
      </c>
      <c r="B12" s="5" t="s">
        <v>73</v>
      </c>
      <c r="C12" s="58" t="s">
        <v>4</v>
      </c>
      <c r="D12" s="13">
        <f>матерВ!B9</f>
        <v>15.13</v>
      </c>
      <c r="E12" s="115"/>
    </row>
    <row r="13" spans="1:7" s="68" customFormat="1" ht="22.5" customHeight="1">
      <c r="A13" s="14" t="s">
        <v>54</v>
      </c>
      <c r="B13" s="5" t="s">
        <v>13</v>
      </c>
      <c r="C13" s="58" t="s">
        <v>4</v>
      </c>
      <c r="D13" s="13">
        <f>'1_ВОП'!H8</f>
        <v>138.12</v>
      </c>
      <c r="E13" s="115"/>
    </row>
    <row r="14" spans="1:7" s="68" customFormat="1" ht="22.5" customHeight="1">
      <c r="A14" s="14" t="s">
        <v>56</v>
      </c>
      <c r="B14" s="5" t="s">
        <v>55</v>
      </c>
      <c r="C14" s="58" t="s">
        <v>4</v>
      </c>
      <c r="D14" s="13">
        <f>SUM(D15:D17)</f>
        <v>62.07</v>
      </c>
      <c r="E14" s="115"/>
    </row>
    <row r="15" spans="1:7" s="68" customFormat="1" ht="30">
      <c r="A15" s="14" t="s">
        <v>57</v>
      </c>
      <c r="B15" s="5" t="s">
        <v>42</v>
      </c>
      <c r="C15" s="58" t="s">
        <v>4</v>
      </c>
      <c r="D15" s="13">
        <f>ROUND(D13*0.22,2)</f>
        <v>30.39</v>
      </c>
      <c r="E15" s="115"/>
    </row>
    <row r="16" spans="1:7" s="68" customFormat="1" ht="22.5" customHeight="1">
      <c r="A16" s="14" t="s">
        <v>58</v>
      </c>
      <c r="B16" s="5" t="s">
        <v>81</v>
      </c>
      <c r="C16" s="58" t="s">
        <v>4</v>
      </c>
      <c r="D16" s="13">
        <f>'опломб В'!E9</f>
        <v>28.369999999999997</v>
      </c>
      <c r="E16" s="115"/>
    </row>
    <row r="17" spans="1:8" s="68" customFormat="1" ht="22.5" customHeight="1">
      <c r="A17" s="14" t="s">
        <v>111</v>
      </c>
      <c r="B17" s="5" t="s">
        <v>112</v>
      </c>
      <c r="C17" s="58" t="s">
        <v>4</v>
      </c>
      <c r="D17" s="13">
        <f>спецодяг!F21</f>
        <v>3.31</v>
      </c>
      <c r="E17" s="116"/>
    </row>
    <row r="18" spans="1:8" s="68" customFormat="1" ht="22.5" customHeight="1">
      <c r="A18" s="14" t="s">
        <v>59</v>
      </c>
      <c r="B18" s="5" t="s">
        <v>114</v>
      </c>
      <c r="C18" s="58" t="s">
        <v>4</v>
      </c>
      <c r="D18" s="13">
        <f>ROUND(D13*18.3%,2)</f>
        <v>25.28</v>
      </c>
      <c r="E18" s="116"/>
      <c r="F18" s="65"/>
    </row>
    <row r="19" spans="1:8" s="118" customFormat="1" ht="33.75" customHeight="1">
      <c r="A19" s="119" t="s">
        <v>3</v>
      </c>
      <c r="B19" s="54" t="s">
        <v>115</v>
      </c>
      <c r="C19" s="57" t="s">
        <v>4</v>
      </c>
      <c r="D19" s="119">
        <v>0</v>
      </c>
      <c r="E19" s="114"/>
      <c r="F19" s="120"/>
    </row>
    <row r="20" spans="1:8" s="118" customFormat="1" ht="22.5" customHeight="1">
      <c r="A20" s="121" t="s">
        <v>60</v>
      </c>
      <c r="B20" s="122" t="s">
        <v>116</v>
      </c>
      <c r="C20" s="57" t="s">
        <v>4</v>
      </c>
      <c r="D20" s="119">
        <v>0</v>
      </c>
      <c r="E20" s="114"/>
    </row>
    <row r="21" spans="1:8" s="118" customFormat="1" ht="22.5" customHeight="1">
      <c r="A21" s="121" t="s">
        <v>117</v>
      </c>
      <c r="B21" s="122" t="s">
        <v>61</v>
      </c>
      <c r="C21" s="57" t="s">
        <v>4</v>
      </c>
      <c r="D21" s="119">
        <f>D11+D19+D20</f>
        <v>240.6</v>
      </c>
      <c r="E21" s="114"/>
    </row>
    <row r="22" spans="1:8" s="118" customFormat="1" ht="22.5" customHeight="1">
      <c r="A22" s="121" t="s">
        <v>118</v>
      </c>
      <c r="B22" s="54" t="s">
        <v>151</v>
      </c>
      <c r="C22" s="57" t="s">
        <v>4</v>
      </c>
      <c r="D22" s="119">
        <f>ROUND(D21*0.03,2)</f>
        <v>7.22</v>
      </c>
      <c r="E22" s="114"/>
    </row>
    <row r="23" spans="1:8" s="118" customFormat="1" ht="30" customHeight="1">
      <c r="A23" s="55" t="s">
        <v>119</v>
      </c>
      <c r="B23" s="54" t="s">
        <v>51</v>
      </c>
      <c r="C23" s="57" t="s">
        <v>4</v>
      </c>
      <c r="D23" s="119">
        <f>D21+D22</f>
        <v>247.82</v>
      </c>
      <c r="E23" s="114"/>
      <c r="F23" s="125"/>
    </row>
    <row r="24" spans="1:8" s="118" customFormat="1" ht="28.5">
      <c r="A24" s="121" t="s">
        <v>120</v>
      </c>
      <c r="B24" s="54" t="s">
        <v>86</v>
      </c>
      <c r="C24" s="57" t="s">
        <v>87</v>
      </c>
      <c r="D24" s="89">
        <v>5</v>
      </c>
      <c r="E24" s="117"/>
    </row>
    <row r="25" spans="1:8" s="118" customFormat="1" ht="22.5" customHeight="1">
      <c r="A25" s="55" t="s">
        <v>121</v>
      </c>
      <c r="B25" s="54" t="s">
        <v>88</v>
      </c>
      <c r="C25" s="57" t="s">
        <v>4</v>
      </c>
      <c r="D25" s="119">
        <f>ROUND(D23/D24,2)</f>
        <v>49.56</v>
      </c>
      <c r="E25" s="114"/>
    </row>
    <row r="26" spans="1:8" s="68" customFormat="1" ht="22.5" customHeight="1">
      <c r="A26" s="121" t="s">
        <v>136</v>
      </c>
      <c r="B26" s="54" t="s">
        <v>49</v>
      </c>
      <c r="C26" s="57" t="s">
        <v>4</v>
      </c>
      <c r="D26" s="119">
        <f>ROUND(D25/12,2)</f>
        <v>4.13</v>
      </c>
      <c r="E26" s="114"/>
    </row>
    <row r="27" spans="1:8" s="68" customFormat="1" ht="22.5" customHeight="1">
      <c r="A27" s="55" t="s">
        <v>137</v>
      </c>
      <c r="B27" s="54" t="s">
        <v>50</v>
      </c>
      <c r="C27" s="57"/>
      <c r="D27" s="89">
        <v>1</v>
      </c>
      <c r="E27" s="117"/>
    </row>
    <row r="28" spans="1:8" s="68" customFormat="1" ht="22.5" customHeight="1">
      <c r="A28" s="55" t="s">
        <v>138</v>
      </c>
      <c r="B28" s="54" t="s">
        <v>142</v>
      </c>
      <c r="C28" s="57" t="s">
        <v>4</v>
      </c>
      <c r="D28" s="119">
        <f>D26*3</f>
        <v>12.39</v>
      </c>
      <c r="E28" s="114"/>
    </row>
    <row r="29" spans="1:8" s="49" customFormat="1">
      <c r="A29" s="127"/>
      <c r="B29" s="128"/>
      <c r="C29" s="129"/>
      <c r="D29" s="130"/>
      <c r="E29" s="126"/>
    </row>
    <row r="30" spans="1:8" s="49" customFormat="1">
      <c r="A30" s="127"/>
      <c r="B30" s="128"/>
      <c r="C30" s="129"/>
      <c r="D30" s="130"/>
      <c r="E30" s="126"/>
    </row>
    <row r="31" spans="1:8" s="15" customFormat="1" ht="17.45" customHeight="1">
      <c r="A31" s="52"/>
      <c r="B31" s="16"/>
      <c r="D31" s="16"/>
      <c r="E31" s="16"/>
      <c r="H31" s="46"/>
    </row>
    <row r="32" spans="1:8" s="15" customFormat="1" ht="27.75" customHeight="1">
      <c r="A32" s="52"/>
      <c r="B32" s="17"/>
      <c r="D32" s="16"/>
      <c r="E32" s="16"/>
      <c r="H32" s="46"/>
    </row>
    <row r="33" spans="1:21" s="15" customFormat="1" ht="17.45" customHeight="1">
      <c r="A33" s="146" t="s">
        <v>155</v>
      </c>
      <c r="B33" s="147"/>
      <c r="C33" s="148"/>
      <c r="D33" s="149"/>
      <c r="E33" s="16"/>
    </row>
    <row r="34" spans="1:21" s="15" customFormat="1" ht="16.149999999999999" customHeight="1">
      <c r="A34" s="142" t="s">
        <v>156</v>
      </c>
      <c r="B34" s="17"/>
      <c r="D34" s="16" t="s">
        <v>157</v>
      </c>
      <c r="E34" s="16"/>
    </row>
    <row r="35" spans="1:21" s="15" customFormat="1" ht="18" customHeight="1">
      <c r="A35" s="52"/>
      <c r="B35" s="16"/>
      <c r="D35" s="16"/>
      <c r="E35" s="16"/>
    </row>
    <row r="36" spans="1:21" s="10" customFormat="1" ht="15.75">
      <c r="A36" s="53"/>
      <c r="U36" s="12"/>
    </row>
    <row r="37" spans="1:21" s="10" customFormat="1" ht="15.75">
      <c r="A37" s="53"/>
      <c r="U37" s="12"/>
    </row>
  </sheetData>
  <mergeCells count="4">
    <mergeCell ref="A7:D7"/>
    <mergeCell ref="C1:E1"/>
    <mergeCell ref="A33:B33"/>
    <mergeCell ref="C33:D33"/>
  </mergeCells>
  <phoneticPr fontId="29" type="noConversion"/>
  <pageMargins left="1.01" right="0.19685039370078741" top="0.3" bottom="0.24" header="0.31496062992125984" footer="0.31496062992125984"/>
  <pageSetup paperSize="9" scale="94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A34" sqref="A34"/>
    </sheetView>
  </sheetViews>
  <sheetFormatPr defaultRowHeight="15"/>
  <cols>
    <col min="1" max="1" width="45.7109375" customWidth="1"/>
    <col min="2" max="3" width="12.140625" customWidth="1"/>
    <col min="4" max="4" width="14" customWidth="1"/>
    <col min="5" max="5" width="3" customWidth="1"/>
    <col min="6" max="6" width="11.85546875" bestFit="1" customWidth="1"/>
  </cols>
  <sheetData>
    <row r="1" spans="1:20">
      <c r="D1" s="1" t="s">
        <v>43</v>
      </c>
    </row>
    <row r="3" spans="1:20" s="63" customFormat="1" ht="49.5" customHeight="1">
      <c r="A3" s="150" t="s">
        <v>122</v>
      </c>
      <c r="B3" s="150"/>
      <c r="C3" s="150"/>
      <c r="D3" s="150"/>
    </row>
    <row r="4" spans="1:20" s="63" customFormat="1" ht="15.75"/>
    <row r="5" spans="1:20" s="63" customFormat="1" ht="27.75" customHeight="1">
      <c r="A5" s="62" t="s">
        <v>67</v>
      </c>
      <c r="B5" s="62" t="s">
        <v>82</v>
      </c>
      <c r="C5" s="62" t="s">
        <v>69</v>
      </c>
      <c r="D5" s="62" t="s">
        <v>70</v>
      </c>
    </row>
    <row r="6" spans="1:20" s="63" customFormat="1" ht="35.25" customHeight="1">
      <c r="A6" s="72" t="s">
        <v>80</v>
      </c>
      <c r="B6" s="73">
        <v>14</v>
      </c>
      <c r="C6" s="74">
        <v>9241.7999999999993</v>
      </c>
      <c r="D6" s="75">
        <f>ROUND((B6*C6),2)</f>
        <v>129385.2</v>
      </c>
      <c r="F6" s="123"/>
    </row>
    <row r="7" spans="1:20" s="63" customFormat="1" ht="35.25" customHeight="1">
      <c r="A7" s="76" t="s">
        <v>83</v>
      </c>
      <c r="B7" s="151">
        <f>40+172+75+11-1+8</f>
        <v>305</v>
      </c>
      <c r="C7" s="152"/>
      <c r="D7" s="153"/>
    </row>
    <row r="8" spans="1:20" s="63" customFormat="1" ht="35.25" customHeight="1">
      <c r="A8" s="77" t="s">
        <v>84</v>
      </c>
      <c r="B8" s="154">
        <f>ROUND(D6/B7,2)</f>
        <v>424.21</v>
      </c>
      <c r="C8" s="155"/>
      <c r="D8" s="156"/>
    </row>
    <row r="9" spans="1:20" s="63" customFormat="1" ht="15.75">
      <c r="A9" s="78"/>
      <c r="B9" s="78"/>
      <c r="C9" s="78"/>
      <c r="D9" s="78"/>
    </row>
    <row r="12" spans="1:20" s="15" customFormat="1" ht="15.75">
      <c r="A12" s="16" t="s">
        <v>15</v>
      </c>
      <c r="D12" s="16" t="s">
        <v>18</v>
      </c>
    </row>
    <row r="13" spans="1:20" s="15" customFormat="1" ht="15.75">
      <c r="A13" s="17"/>
      <c r="D13" s="16"/>
    </row>
    <row r="14" spans="1:20" s="15" customFormat="1" ht="15.75">
      <c r="A14" s="16" t="s">
        <v>16</v>
      </c>
      <c r="D14" s="16" t="s">
        <v>35</v>
      </c>
    </row>
    <row r="15" spans="1:20" s="10" customFormat="1" ht="15.75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>
      <c r="A18" s="9"/>
    </row>
    <row r="19" spans="1:11" s="1" customFormat="1">
      <c r="A19" s="9"/>
    </row>
    <row r="20" spans="1:11" s="1" customFormat="1">
      <c r="A20" s="9"/>
    </row>
    <row r="21" spans="1:11" s="1" customFormat="1">
      <c r="A21" s="9"/>
    </row>
    <row r="22" spans="1:11" s="1" customFormat="1">
      <c r="A22" s="9"/>
    </row>
    <row r="23" spans="1:11" s="1" customFormat="1">
      <c r="A23" s="9"/>
    </row>
    <row r="24" spans="1:11" s="1" customFormat="1">
      <c r="A24" s="9"/>
    </row>
    <row r="25" spans="1:11" s="1" customFormat="1">
      <c r="A25" s="9"/>
    </row>
    <row r="26" spans="1:11" s="1" customFormat="1">
      <c r="A26" s="9"/>
    </row>
    <row r="27" spans="1:11" s="1" customFormat="1">
      <c r="A27" s="9"/>
    </row>
    <row r="28" spans="1:11" s="1" customFormat="1">
      <c r="A28" s="9"/>
    </row>
    <row r="29" spans="1:11" s="1" customFormat="1">
      <c r="A29" s="9"/>
    </row>
    <row r="30" spans="1:11" s="1" customFormat="1">
      <c r="A30" s="1" t="s">
        <v>36</v>
      </c>
    </row>
    <row r="31" spans="1:11" s="1" customFormat="1">
      <c r="A31" s="1" t="s">
        <v>37</v>
      </c>
    </row>
    <row r="32" spans="1:11" s="1" customFormat="1">
      <c r="A32" s="9"/>
    </row>
  </sheetData>
  <mergeCells count="3">
    <mergeCell ref="A3:D3"/>
    <mergeCell ref="B7:D7"/>
    <mergeCell ref="B8:D8"/>
  </mergeCells>
  <phoneticPr fontId="29" type="noConversion"/>
  <pageMargins left="0.7" right="0.43" top="0.75" bottom="0.75" header="0.3" footer="0.3"/>
  <pageSetup paperSize="9" scale="99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C7" sqref="C7"/>
    </sheetView>
  </sheetViews>
  <sheetFormatPr defaultRowHeight="15"/>
  <cols>
    <col min="1" max="1" width="41.42578125" customWidth="1"/>
    <col min="2" max="4" width="11.5703125" customWidth="1"/>
    <col min="5" max="5" width="7.7109375" customWidth="1"/>
    <col min="6" max="6" width="10.5703125" bestFit="1" customWidth="1"/>
  </cols>
  <sheetData>
    <row r="1" spans="1:20">
      <c r="D1" s="1" t="s">
        <v>43</v>
      </c>
    </row>
    <row r="4" spans="1:20" s="63" customFormat="1" ht="49.5" customHeight="1">
      <c r="A4" s="150" t="s">
        <v>123</v>
      </c>
      <c r="B4" s="150"/>
      <c r="C4" s="150"/>
      <c r="D4" s="150"/>
    </row>
    <row r="5" spans="1:20" s="63" customFormat="1" ht="15.75"/>
    <row r="6" spans="1:20" s="63" customFormat="1" ht="27.75" customHeight="1">
      <c r="A6" s="61" t="s">
        <v>67</v>
      </c>
      <c r="B6" s="61" t="s">
        <v>68</v>
      </c>
      <c r="C6" s="61" t="s">
        <v>69</v>
      </c>
      <c r="D6" s="61" t="s">
        <v>70</v>
      </c>
    </row>
    <row r="7" spans="1:20" s="63" customFormat="1" ht="38.25" customHeight="1">
      <c r="A7" s="72" t="s">
        <v>80</v>
      </c>
      <c r="B7" s="73">
        <v>40</v>
      </c>
      <c r="C7" s="74">
        <v>270</v>
      </c>
      <c r="D7" s="75">
        <f>ROUND((B7*C7),2)</f>
        <v>10800</v>
      </c>
      <c r="F7" s="123"/>
    </row>
    <row r="8" spans="1:20" s="63" customFormat="1" ht="38.25" customHeight="1">
      <c r="A8" s="76" t="s">
        <v>146</v>
      </c>
      <c r="B8" s="151">
        <v>714</v>
      </c>
      <c r="C8" s="152"/>
      <c r="D8" s="153"/>
    </row>
    <row r="9" spans="1:20" s="63" customFormat="1" ht="38.25" customHeight="1">
      <c r="A9" s="77" t="s">
        <v>84</v>
      </c>
      <c r="B9" s="154">
        <f>ROUND(D7/B8,2)</f>
        <v>15.13</v>
      </c>
      <c r="C9" s="155"/>
      <c r="D9" s="156"/>
    </row>
    <row r="10" spans="1:20" s="63" customFormat="1" ht="51" customHeight="1">
      <c r="A10" s="78"/>
      <c r="B10" s="78"/>
      <c r="C10" s="78"/>
      <c r="D10" s="78"/>
    </row>
    <row r="11" spans="1:20" s="37" customFormat="1" ht="16.5" customHeight="1">
      <c r="A11" s="39"/>
      <c r="C11" s="39"/>
      <c r="D11" s="39"/>
      <c r="E11" s="39"/>
      <c r="F11" s="39"/>
      <c r="G11" s="39"/>
      <c r="H11" s="39"/>
      <c r="I11" s="39"/>
      <c r="J11" s="1"/>
    </row>
    <row r="12" spans="1:20" s="15" customFormat="1" ht="15.75">
      <c r="A12" s="16" t="s">
        <v>15</v>
      </c>
      <c r="D12" s="16" t="s">
        <v>18</v>
      </c>
    </row>
    <row r="13" spans="1:20" s="15" customFormat="1" ht="15.75">
      <c r="A13" s="17"/>
      <c r="D13" s="16"/>
    </row>
    <row r="14" spans="1:20" s="15" customFormat="1" ht="15.75">
      <c r="A14" s="16" t="s">
        <v>16</v>
      </c>
      <c r="D14" s="16" t="s">
        <v>35</v>
      </c>
    </row>
    <row r="15" spans="1:20" s="10" customFormat="1" ht="15.75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>
      <c r="A18" s="9"/>
    </row>
    <row r="19" spans="1:11" s="1" customFormat="1">
      <c r="A19" s="9"/>
    </row>
    <row r="20" spans="1:11" s="1" customFormat="1">
      <c r="A20" s="9"/>
    </row>
    <row r="21" spans="1:11" s="1" customFormat="1">
      <c r="A21" s="9"/>
    </row>
    <row r="22" spans="1:11" s="1" customFormat="1">
      <c r="A22" s="9"/>
    </row>
    <row r="23" spans="1:11" s="1" customFormat="1">
      <c r="A23" s="9"/>
    </row>
    <row r="24" spans="1:11" s="1" customFormat="1">
      <c r="A24" s="9"/>
    </row>
    <row r="25" spans="1:11" s="1" customFormat="1">
      <c r="A25" s="9"/>
    </row>
    <row r="26" spans="1:11" s="1" customFormat="1">
      <c r="A26" s="9"/>
    </row>
    <row r="27" spans="1:11" s="1" customFormat="1">
      <c r="A27" s="9"/>
    </row>
    <row r="28" spans="1:11" s="1" customFormat="1">
      <c r="A28" s="9"/>
    </row>
    <row r="29" spans="1:11" s="1" customFormat="1">
      <c r="A29" s="9"/>
    </row>
    <row r="30" spans="1:11" s="1" customFormat="1">
      <c r="A30" s="1" t="s">
        <v>36</v>
      </c>
    </row>
    <row r="31" spans="1:11" s="1" customFormat="1">
      <c r="A31" s="1" t="s">
        <v>37</v>
      </c>
    </row>
    <row r="32" spans="1:11" s="1" customFormat="1">
      <c r="A32" s="9"/>
    </row>
  </sheetData>
  <mergeCells count="3">
    <mergeCell ref="A4:D4"/>
    <mergeCell ref="B8:D8"/>
    <mergeCell ref="B9:D9"/>
  </mergeCells>
  <phoneticPr fontId="29" type="noConversion"/>
  <pageMargins left="0.88" right="0.56999999999999995" top="0.75" bottom="0.75" header="0.3" footer="0.3"/>
  <pageSetup paperSize="9" scale="9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4"/>
  <sheetViews>
    <sheetView view="pageBreakPreview" zoomScale="90" zoomScaleSheetLayoutView="90" workbookViewId="0">
      <selection activeCell="G6" sqref="G6"/>
    </sheetView>
  </sheetViews>
  <sheetFormatPr defaultColWidth="9.140625" defaultRowHeight="15"/>
  <cols>
    <col min="1" max="1" width="3.85546875" style="9" customWidth="1"/>
    <col min="2" max="2" width="35.7109375" style="1" customWidth="1"/>
    <col min="3" max="3" width="7.140625" style="1" customWidth="1"/>
    <col min="4" max="4" width="10.28515625" style="1" customWidth="1"/>
    <col min="5" max="5" width="6.28515625" style="1" customWidth="1"/>
    <col min="6" max="6" width="8.5703125" style="1" customWidth="1"/>
    <col min="7" max="7" width="8.140625" style="1" customWidth="1"/>
    <col min="8" max="8" width="7.140625" style="1" customWidth="1"/>
    <col min="9" max="9" width="9.140625" style="1"/>
    <col min="10" max="10" width="6" style="1" bestFit="1" customWidth="1"/>
    <col min="11" max="16384" width="9.140625" style="1"/>
  </cols>
  <sheetData>
    <row r="1" spans="1:11" ht="15.75" customHeight="1">
      <c r="H1" s="100" t="s">
        <v>124</v>
      </c>
    </row>
    <row r="2" spans="1:11" ht="15.75" customHeight="1"/>
    <row r="3" spans="1:11" ht="48.75" customHeight="1">
      <c r="B3" s="157" t="s">
        <v>89</v>
      </c>
      <c r="C3" s="157"/>
      <c r="D3" s="157"/>
      <c r="E3" s="157"/>
      <c r="F3" s="157"/>
      <c r="G3" s="157"/>
      <c r="H3" s="157"/>
      <c r="I3" s="38"/>
      <c r="K3" s="6"/>
    </row>
    <row r="4" spans="1:11" ht="15.75" customHeight="1">
      <c r="J4" s="40"/>
    </row>
    <row r="5" spans="1:11" s="6" customFormat="1" ht="48" customHeight="1">
      <c r="A5" s="7" t="s">
        <v>11</v>
      </c>
      <c r="B5" s="7" t="s">
        <v>62</v>
      </c>
      <c r="C5" s="7" t="s">
        <v>75</v>
      </c>
      <c r="D5" s="7" t="s">
        <v>47</v>
      </c>
      <c r="E5" s="7" t="s">
        <v>66</v>
      </c>
      <c r="F5" s="7" t="s">
        <v>65</v>
      </c>
      <c r="G5" s="7" t="s">
        <v>17</v>
      </c>
      <c r="H5" s="7" t="s">
        <v>5</v>
      </c>
      <c r="J5" s="1"/>
      <c r="K5" s="1"/>
    </row>
    <row r="6" spans="1:11" ht="38.25">
      <c r="A6" s="4">
        <v>1</v>
      </c>
      <c r="B6" s="47" t="s">
        <v>76</v>
      </c>
      <c r="C6" s="59" t="s">
        <v>63</v>
      </c>
      <c r="D6" s="60" t="s">
        <v>64</v>
      </c>
      <c r="E6" s="66">
        <v>2</v>
      </c>
      <c r="F6" s="87">
        <v>0.5</v>
      </c>
      <c r="G6" s="67">
        <f>'людгод (сто)'!O12</f>
        <v>69.06</v>
      </c>
      <c r="H6" s="13">
        <f>ROUND(E6*F6*G6,2)</f>
        <v>69.06</v>
      </c>
    </row>
    <row r="7" spans="1:11" ht="47.25" customHeight="1">
      <c r="A7" s="4">
        <v>2</v>
      </c>
      <c r="B7" s="47" t="s">
        <v>77</v>
      </c>
      <c r="C7" s="59" t="s">
        <v>63</v>
      </c>
      <c r="D7" s="60" t="s">
        <v>64</v>
      </c>
      <c r="E7" s="66">
        <v>2</v>
      </c>
      <c r="F7" s="87">
        <v>0.5</v>
      </c>
      <c r="G7" s="67">
        <f>G6</f>
        <v>69.06</v>
      </c>
      <c r="H7" s="13">
        <f>ROUND(E7*F7*G7,2)</f>
        <v>69.06</v>
      </c>
    </row>
    <row r="8" spans="1:11" s="40" customFormat="1" ht="15.75">
      <c r="A8" s="8"/>
      <c r="B8" s="8" t="s">
        <v>44</v>
      </c>
      <c r="C8" s="8"/>
      <c r="D8" s="8"/>
      <c r="E8" s="8"/>
      <c r="F8" s="88"/>
      <c r="G8" s="48"/>
      <c r="H8" s="41">
        <f>SUM(H6:H7)</f>
        <v>138.12</v>
      </c>
      <c r="J8" s="39"/>
      <c r="K8" s="1"/>
    </row>
    <row r="9" spans="1:11" ht="36" customHeight="1">
      <c r="A9" s="158" t="s">
        <v>78</v>
      </c>
      <c r="B9" s="158"/>
      <c r="C9" s="158"/>
      <c r="D9" s="158"/>
      <c r="E9" s="158"/>
      <c r="F9" s="158"/>
      <c r="G9" s="158"/>
      <c r="H9" s="158"/>
      <c r="J9" s="39"/>
    </row>
    <row r="10" spans="1:11" ht="15.75">
      <c r="A10" s="42"/>
      <c r="B10" s="43"/>
      <c r="C10" s="43"/>
      <c r="D10" s="43"/>
      <c r="E10" s="43"/>
      <c r="F10" s="43"/>
      <c r="G10" s="43"/>
      <c r="H10" s="43"/>
      <c r="K10" s="37"/>
    </row>
    <row r="11" spans="1:11" ht="15.75">
      <c r="K11" s="37"/>
    </row>
    <row r="12" spans="1:11" s="15" customFormat="1" ht="15.75">
      <c r="B12" s="16" t="s">
        <v>15</v>
      </c>
      <c r="F12" s="16" t="s">
        <v>18</v>
      </c>
    </row>
    <row r="13" spans="1:11" s="15" customFormat="1" ht="15.75">
      <c r="B13" s="17"/>
      <c r="F13" s="16"/>
    </row>
    <row r="14" spans="1:11" s="15" customFormat="1" ht="15.75">
      <c r="B14" s="16" t="s">
        <v>16</v>
      </c>
      <c r="F14" s="16" t="s">
        <v>35</v>
      </c>
    </row>
    <row r="15" spans="1:11" s="37" customFormat="1" ht="16.5" customHeight="1">
      <c r="A15" s="17"/>
      <c r="B15" s="39"/>
      <c r="C15" s="39"/>
      <c r="D15" s="39"/>
      <c r="E15" s="39"/>
      <c r="F15" s="39"/>
      <c r="G15" s="39"/>
      <c r="H15" s="39"/>
      <c r="I15" s="39"/>
      <c r="J15" s="1"/>
    </row>
    <row r="16" spans="1:11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30" spans="1:11">
      <c r="A30" s="1" t="s">
        <v>36</v>
      </c>
    </row>
    <row r="31" spans="1:11">
      <c r="A31" s="1" t="s">
        <v>37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H3"/>
    <mergeCell ref="A9:H9"/>
  </mergeCells>
  <phoneticPr fontId="29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90" zoomScaleNormal="80" zoomScaleSheetLayoutView="90" workbookViewId="0">
      <selection activeCell="T12" sqref="T12"/>
    </sheetView>
  </sheetViews>
  <sheetFormatPr defaultColWidth="9.7109375" defaultRowHeight="15"/>
  <cols>
    <col min="1" max="1" width="31.28515625" style="20" customWidth="1"/>
    <col min="2" max="2" width="9.7109375" style="18" customWidth="1"/>
    <col min="3" max="9" width="9.140625" style="18" customWidth="1"/>
    <col min="10" max="13" width="9.140625" style="19" customWidth="1"/>
    <col min="14" max="14" width="10.42578125" style="19" customWidth="1"/>
    <col min="15" max="15" width="9.140625" style="19" customWidth="1"/>
    <col min="16" max="237" width="9.140625" style="18" customWidth="1"/>
    <col min="238" max="238" width="45.42578125" style="18" customWidth="1"/>
    <col min="239" max="239" width="8.5703125" style="18" customWidth="1"/>
    <col min="240" max="16384" width="9.7109375" style="18"/>
  </cols>
  <sheetData>
    <row r="1" spans="1:15" s="33" customFormat="1" ht="52.5" customHeight="1">
      <c r="A1" s="20"/>
      <c r="B1" s="35"/>
      <c r="C1" s="35"/>
      <c r="D1" s="35"/>
      <c r="E1" s="35"/>
      <c r="F1" s="35"/>
      <c r="G1" s="35"/>
      <c r="H1" s="35"/>
      <c r="I1" s="35"/>
      <c r="J1" s="35"/>
      <c r="K1" s="35"/>
      <c r="M1" s="101" t="s">
        <v>128</v>
      </c>
      <c r="N1" s="34"/>
      <c r="O1" s="34"/>
    </row>
    <row r="2" spans="1:15" s="21" customFormat="1" ht="23.25" customHeight="1">
      <c r="A2" s="159" t="s">
        <v>110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</row>
    <row r="3" spans="1:15" s="21" customFormat="1" ht="15.7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0"/>
      <c r="N3" s="30"/>
      <c r="O3" s="30"/>
    </row>
    <row r="4" spans="1:15" s="84" customFormat="1" ht="24.75" customHeight="1">
      <c r="A4" s="160" t="s">
        <v>33</v>
      </c>
      <c r="B4" s="163" t="s">
        <v>32</v>
      </c>
      <c r="C4" s="166" t="s">
        <v>31</v>
      </c>
      <c r="D4" s="167"/>
      <c r="E4" s="167"/>
      <c r="F4" s="168"/>
      <c r="G4" s="169" t="s">
        <v>30</v>
      </c>
      <c r="H4" s="170"/>
      <c r="I4" s="170"/>
      <c r="J4" s="171"/>
      <c r="K4" s="166" t="s">
        <v>29</v>
      </c>
      <c r="L4" s="168"/>
      <c r="M4" s="183" t="s">
        <v>28</v>
      </c>
      <c r="N4" s="179" t="s">
        <v>20</v>
      </c>
      <c r="O4" s="186" t="s">
        <v>23</v>
      </c>
    </row>
    <row r="5" spans="1:15" s="84" customFormat="1" ht="16.5" customHeight="1">
      <c r="A5" s="161"/>
      <c r="B5" s="164"/>
      <c r="C5" s="163" t="s">
        <v>125</v>
      </c>
      <c r="D5" s="163" t="s">
        <v>126</v>
      </c>
      <c r="E5" s="163" t="s">
        <v>127</v>
      </c>
      <c r="F5" s="183" t="s">
        <v>27</v>
      </c>
      <c r="G5" s="172" t="s">
        <v>19</v>
      </c>
      <c r="H5" s="173"/>
      <c r="I5" s="183" t="s">
        <v>26</v>
      </c>
      <c r="J5" s="183" t="s">
        <v>25</v>
      </c>
      <c r="K5" s="183" t="s">
        <v>24</v>
      </c>
      <c r="L5" s="176" t="s">
        <v>34</v>
      </c>
      <c r="M5" s="184"/>
      <c r="N5" s="180"/>
      <c r="O5" s="186"/>
    </row>
    <row r="6" spans="1:15" s="84" customFormat="1" ht="21.75" customHeight="1">
      <c r="A6" s="161"/>
      <c r="B6" s="164"/>
      <c r="C6" s="164"/>
      <c r="D6" s="164"/>
      <c r="E6" s="164"/>
      <c r="F6" s="184"/>
      <c r="G6" s="174"/>
      <c r="H6" s="175"/>
      <c r="I6" s="184"/>
      <c r="J6" s="184"/>
      <c r="K6" s="184"/>
      <c r="L6" s="177"/>
      <c r="M6" s="184"/>
      <c r="N6" s="180"/>
      <c r="O6" s="186"/>
    </row>
    <row r="7" spans="1:15" s="84" customFormat="1" ht="48.75" customHeight="1">
      <c r="A7" s="162"/>
      <c r="B7" s="165"/>
      <c r="C7" s="165"/>
      <c r="D7" s="165"/>
      <c r="E7" s="165"/>
      <c r="F7" s="185"/>
      <c r="G7" s="29" t="s">
        <v>22</v>
      </c>
      <c r="H7" s="29" t="s">
        <v>21</v>
      </c>
      <c r="I7" s="185"/>
      <c r="J7" s="185"/>
      <c r="K7" s="185"/>
      <c r="L7" s="178"/>
      <c r="M7" s="185"/>
      <c r="N7" s="181"/>
      <c r="O7" s="186"/>
    </row>
    <row r="8" spans="1:15" s="19" customFormat="1" ht="14.25">
      <c r="A8" s="99" t="s">
        <v>46</v>
      </c>
      <c r="B8" s="137"/>
      <c r="C8" s="25"/>
      <c r="D8" s="25"/>
      <c r="E8" s="25"/>
      <c r="F8" s="25"/>
      <c r="G8" s="102"/>
      <c r="H8" s="102"/>
      <c r="I8" s="28"/>
      <c r="J8" s="28"/>
      <c r="K8" s="103"/>
      <c r="L8" s="104"/>
      <c r="M8" s="103"/>
      <c r="N8" s="103"/>
      <c r="O8" s="103"/>
    </row>
    <row r="9" spans="1:15">
      <c r="A9" s="36" t="s">
        <v>48</v>
      </c>
      <c r="B9" s="138"/>
      <c r="C9" s="26"/>
      <c r="D9" s="26"/>
      <c r="E9" s="26"/>
      <c r="F9" s="27"/>
      <c r="G9" s="26"/>
      <c r="H9" s="26"/>
      <c r="I9" s="26"/>
      <c r="J9" s="25"/>
      <c r="K9" s="25"/>
      <c r="L9" s="25"/>
      <c r="M9" s="25"/>
      <c r="N9" s="25"/>
      <c r="O9" s="25"/>
    </row>
    <row r="10" spans="1:15" s="84" customFormat="1" ht="34.5" customHeight="1">
      <c r="A10" s="79" t="s">
        <v>74</v>
      </c>
      <c r="B10" s="80">
        <f>2-1</f>
        <v>1</v>
      </c>
      <c r="C10" s="81">
        <v>7605</v>
      </c>
      <c r="D10" s="81">
        <v>7949</v>
      </c>
      <c r="E10" s="81">
        <v>8213</v>
      </c>
      <c r="F10" s="80">
        <v>93588</v>
      </c>
      <c r="G10" s="81">
        <v>4</v>
      </c>
      <c r="H10" s="81">
        <v>3744</v>
      </c>
      <c r="I10" s="81">
        <v>28076</v>
      </c>
      <c r="J10" s="81">
        <v>31820</v>
      </c>
      <c r="K10" s="81">
        <v>7605</v>
      </c>
      <c r="L10" s="139">
        <v>5403</v>
      </c>
      <c r="M10" s="82">
        <f>F10+J10+K10+L10</f>
        <v>138416</v>
      </c>
      <c r="N10" s="82">
        <v>2002</v>
      </c>
      <c r="O10" s="83">
        <f>ROUND(M10/N10,2)</f>
        <v>69.14</v>
      </c>
    </row>
    <row r="11" spans="1:15" s="24" customFormat="1" ht="34.5" customHeight="1">
      <c r="A11" s="79" t="s">
        <v>74</v>
      </c>
      <c r="B11" s="80">
        <f>2-1</f>
        <v>1</v>
      </c>
      <c r="C11" s="81">
        <v>7605</v>
      </c>
      <c r="D11" s="81">
        <v>7949</v>
      </c>
      <c r="E11" s="81">
        <v>8213</v>
      </c>
      <c r="F11" s="80">
        <v>93588</v>
      </c>
      <c r="G11" s="81">
        <v>4</v>
      </c>
      <c r="H11" s="81">
        <v>3744</v>
      </c>
      <c r="I11" s="81">
        <v>28076</v>
      </c>
      <c r="J11" s="81">
        <v>31820</v>
      </c>
      <c r="K11" s="81">
        <v>7605</v>
      </c>
      <c r="L11" s="139">
        <v>5079</v>
      </c>
      <c r="M11" s="82">
        <f>F11+J11+K11+L11</f>
        <v>138092</v>
      </c>
      <c r="N11" s="82">
        <v>2002</v>
      </c>
      <c r="O11" s="83">
        <f>ROUND(M11/N11,2)</f>
        <v>68.98</v>
      </c>
    </row>
    <row r="12" spans="1:15" s="24" customFormat="1" ht="34.5" customHeight="1">
      <c r="A12" s="80" t="s">
        <v>152</v>
      </c>
      <c r="B12" s="80">
        <f>SUM(B10:B11)</f>
        <v>2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1"/>
      <c r="M12" s="82">
        <f>SUM(M10:M11)</f>
        <v>276508</v>
      </c>
      <c r="N12" s="82">
        <f>SUM(N10:N11)</f>
        <v>4004</v>
      </c>
      <c r="O12" s="83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75">
      <c r="A16" s="182" t="s">
        <v>45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</row>
    <row r="17" spans="1:15" s="22" customFormat="1">
      <c r="A17" s="105"/>
      <c r="B17" s="105"/>
      <c r="C17" s="106"/>
      <c r="D17" s="106"/>
      <c r="E17" s="106"/>
      <c r="F17" s="105"/>
      <c r="G17" s="105"/>
      <c r="H17" s="105"/>
      <c r="I17" s="107"/>
      <c r="J17" s="105"/>
      <c r="K17" s="105"/>
      <c r="L17" s="105"/>
      <c r="M17" s="105"/>
      <c r="N17" s="105"/>
      <c r="O17" s="105"/>
    </row>
    <row r="18" spans="1:15" s="37" customFormat="1" ht="15.75">
      <c r="A18" s="182" t="s">
        <v>38</v>
      </c>
      <c r="B18" s="182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</row>
    <row r="19" spans="1:15" s="50" customFormat="1">
      <c r="C19" s="44"/>
      <c r="D19" s="44"/>
      <c r="E19" s="44"/>
    </row>
    <row r="20" spans="1:15" s="50" customFormat="1">
      <c r="C20" s="44"/>
      <c r="D20" s="44"/>
      <c r="E20" s="44"/>
    </row>
    <row r="21" spans="1:15" s="50" customFormat="1">
      <c r="C21" s="44"/>
      <c r="D21" s="44"/>
      <c r="E21" s="44"/>
    </row>
    <row r="22" spans="1:15" s="50" customFormat="1">
      <c r="C22" s="44"/>
      <c r="D22" s="44"/>
      <c r="E22" s="44"/>
    </row>
    <row r="23" spans="1:15" s="50" customFormat="1">
      <c r="C23" s="44"/>
      <c r="D23" s="44"/>
      <c r="E23" s="44"/>
    </row>
    <row r="24" spans="1:15" s="50" customFormat="1">
      <c r="A24" s="50" t="s">
        <v>36</v>
      </c>
      <c r="C24" s="44"/>
      <c r="D24" s="44"/>
      <c r="E24" s="44"/>
    </row>
    <row r="25" spans="1:15" s="50" customFormat="1">
      <c r="A25" s="50" t="s">
        <v>37</v>
      </c>
      <c r="C25" s="44"/>
      <c r="D25" s="44"/>
      <c r="E25" s="44"/>
    </row>
  </sheetData>
  <mergeCells count="20">
    <mergeCell ref="A16:O16"/>
    <mergeCell ref="A18:O18"/>
    <mergeCell ref="M4:M7"/>
    <mergeCell ref="C5:C7"/>
    <mergeCell ref="D5:D7"/>
    <mergeCell ref="F5:F7"/>
    <mergeCell ref="O4:O7"/>
    <mergeCell ref="I5:I7"/>
    <mergeCell ref="J5:J7"/>
    <mergeCell ref="K5:K7"/>
    <mergeCell ref="A2:O2"/>
    <mergeCell ref="A4:A7"/>
    <mergeCell ref="B4:B7"/>
    <mergeCell ref="C4:F4"/>
    <mergeCell ref="G4:J4"/>
    <mergeCell ref="G5:H6"/>
    <mergeCell ref="E5:E7"/>
    <mergeCell ref="L5:L7"/>
    <mergeCell ref="K4:L4"/>
    <mergeCell ref="N4:N7"/>
  </mergeCells>
  <phoneticPr fontId="29" type="noConversion"/>
  <pageMargins left="0.35433070866141736" right="0.31496062992125984" top="0.8" bottom="0.19685039370078741" header="0.31496062992125984" footer="0.19685039370078741"/>
  <pageSetup paperSize="9" scale="87" orientation="landscape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J32"/>
  <sheetViews>
    <sheetView view="pageBreakPreview" zoomScale="90" workbookViewId="0">
      <selection activeCell="L17" sqref="L17"/>
    </sheetView>
  </sheetViews>
  <sheetFormatPr defaultColWidth="9.140625" defaultRowHeight="15"/>
  <cols>
    <col min="1" max="1" width="5.140625" style="65" customWidth="1"/>
    <col min="2" max="2" width="43.85546875" style="65" customWidth="1"/>
    <col min="3" max="4" width="10.7109375" style="65" customWidth="1"/>
    <col min="5" max="5" width="11.140625" style="65" customWidth="1"/>
    <col min="6" max="16384" width="9.140625" style="65"/>
  </cols>
  <sheetData>
    <row r="1" spans="1:10">
      <c r="E1" s="100" t="s">
        <v>129</v>
      </c>
    </row>
    <row r="3" spans="1:10" ht="56.25" customHeight="1">
      <c r="A3" s="187" t="s">
        <v>79</v>
      </c>
      <c r="B3" s="187"/>
      <c r="C3" s="187"/>
      <c r="D3" s="187"/>
      <c r="E3" s="187"/>
      <c r="F3" s="64"/>
    </row>
    <row r="6" spans="1:10" s="6" customFormat="1" ht="46.5" customHeight="1">
      <c r="A6" s="7" t="s">
        <v>11</v>
      </c>
      <c r="B6" s="7" t="s">
        <v>62</v>
      </c>
      <c r="C6" s="7" t="s">
        <v>144</v>
      </c>
      <c r="D6" s="7" t="s">
        <v>145</v>
      </c>
      <c r="E6" s="7" t="s">
        <v>141</v>
      </c>
    </row>
    <row r="7" spans="1:10" s="68" customFormat="1" ht="37.5" customHeight="1">
      <c r="A7" s="4">
        <v>1</v>
      </c>
      <c r="B7" s="47" t="s">
        <v>71</v>
      </c>
      <c r="C7" s="131">
        <v>3</v>
      </c>
      <c r="D7" s="86">
        <v>3.9</v>
      </c>
      <c r="E7" s="86">
        <f>ROUND(C7*D7,2)</f>
        <v>11.7</v>
      </c>
    </row>
    <row r="8" spans="1:10" ht="37.5" customHeight="1">
      <c r="A8" s="4">
        <v>2</v>
      </c>
      <c r="B8" s="47" t="s">
        <v>72</v>
      </c>
      <c r="C8" s="131">
        <v>3</v>
      </c>
      <c r="D8" s="86">
        <v>24.47</v>
      </c>
      <c r="E8" s="86">
        <f>ROUND(C8*D8,2)</f>
        <v>73.41</v>
      </c>
      <c r="F8" s="68"/>
    </row>
    <row r="9" spans="1:10" ht="37.5" customHeight="1">
      <c r="A9" s="69"/>
      <c r="B9" s="70" t="s">
        <v>85</v>
      </c>
      <c r="C9" s="70"/>
      <c r="D9" s="70"/>
      <c r="E9" s="71">
        <f>SUM(E7:E8)</f>
        <v>85.11</v>
      </c>
    </row>
    <row r="10" spans="1:10" ht="34.5" customHeight="1">
      <c r="A10" s="158" t="s">
        <v>153</v>
      </c>
      <c r="B10" s="158"/>
      <c r="C10" s="158"/>
      <c r="D10" s="158"/>
      <c r="E10" s="158"/>
    </row>
    <row r="13" spans="1:10" s="15" customFormat="1" ht="12.75"/>
    <row r="14" spans="1:10" s="15" customFormat="1" ht="15.75">
      <c r="A14" s="16" t="s">
        <v>15</v>
      </c>
      <c r="E14" s="124" t="s">
        <v>18</v>
      </c>
    </row>
    <row r="15" spans="1:10" s="15" customFormat="1" ht="15.75">
      <c r="A15" s="17"/>
      <c r="E15" s="124"/>
    </row>
    <row r="16" spans="1:10" s="37" customFormat="1" ht="15.75" customHeight="1">
      <c r="A16" s="16" t="s">
        <v>16</v>
      </c>
      <c r="B16" s="15"/>
      <c r="C16" s="15"/>
      <c r="D16" s="15"/>
      <c r="E16" s="124" t="s">
        <v>35</v>
      </c>
      <c r="F16" s="39"/>
      <c r="G16" s="39"/>
      <c r="H16" s="39"/>
      <c r="I16" s="1"/>
      <c r="J16" s="1"/>
    </row>
    <row r="17" spans="1:10" s="37" customFormat="1" ht="15.75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9"/>
    </row>
    <row r="28" spans="1:10" s="1" customFormat="1">
      <c r="A28" s="9"/>
    </row>
    <row r="29" spans="1:10" s="1" customFormat="1">
      <c r="A29" s="9"/>
    </row>
    <row r="30" spans="1:10" s="1" customFormat="1">
      <c r="A30" s="1" t="s">
        <v>36</v>
      </c>
    </row>
    <row r="31" spans="1:10" s="1" customFormat="1">
      <c r="A31" s="1" t="s">
        <v>37</v>
      </c>
    </row>
    <row r="32" spans="1:10" s="1" customFormat="1">
      <c r="A32" s="9"/>
    </row>
  </sheetData>
  <mergeCells count="2">
    <mergeCell ref="A3:E3"/>
    <mergeCell ref="A10:E10"/>
  </mergeCells>
  <phoneticPr fontId="29" type="noConversion"/>
  <pageMargins left="1.1200000000000001" right="0.3" top="0.75" bottom="0.75" header="0.3" footer="0.3"/>
  <pageSetup paperSize="9" orientation="portrait" horizontalDpi="4294967293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J29"/>
  <sheetViews>
    <sheetView view="pageBreakPreview" zoomScale="90" workbookViewId="0">
      <selection activeCell="A3" sqref="A3:E3"/>
    </sheetView>
  </sheetViews>
  <sheetFormatPr defaultColWidth="9.140625" defaultRowHeight="15"/>
  <cols>
    <col min="1" max="1" width="9.5703125" style="65" customWidth="1"/>
    <col min="2" max="2" width="41.140625" style="65" customWidth="1"/>
    <col min="3" max="5" width="12.42578125" style="65" customWidth="1"/>
    <col min="6" max="16384" width="9.140625" style="65"/>
  </cols>
  <sheetData>
    <row r="1" spans="1:10">
      <c r="E1" s="100" t="s">
        <v>129</v>
      </c>
    </row>
    <row r="3" spans="1:10" ht="64.5" customHeight="1">
      <c r="A3" s="187" t="s">
        <v>90</v>
      </c>
      <c r="B3" s="187"/>
      <c r="C3" s="187"/>
      <c r="D3" s="187"/>
      <c r="E3" s="187"/>
      <c r="F3" s="64"/>
    </row>
    <row r="6" spans="1:10" s="6" customFormat="1" ht="54" customHeight="1">
      <c r="A6" s="7" t="s">
        <v>11</v>
      </c>
      <c r="B6" s="7" t="s">
        <v>62</v>
      </c>
      <c r="C6" s="7" t="s">
        <v>140</v>
      </c>
      <c r="D6" s="7" t="s">
        <v>145</v>
      </c>
      <c r="E6" s="7" t="s">
        <v>141</v>
      </c>
    </row>
    <row r="7" spans="1:10" s="68" customFormat="1" ht="36" customHeight="1">
      <c r="A7" s="4">
        <v>1</v>
      </c>
      <c r="B7" s="47" t="s">
        <v>71</v>
      </c>
      <c r="C7" s="131">
        <v>1</v>
      </c>
      <c r="D7" s="86">
        <v>3.9</v>
      </c>
      <c r="E7" s="86">
        <f>ROUND(C7*D7,2)</f>
        <v>3.9</v>
      </c>
    </row>
    <row r="8" spans="1:10" ht="36" customHeight="1">
      <c r="A8" s="4">
        <v>2</v>
      </c>
      <c r="B8" s="47" t="s">
        <v>72</v>
      </c>
      <c r="C8" s="131">
        <v>1</v>
      </c>
      <c r="D8" s="86">
        <v>24.47</v>
      </c>
      <c r="E8" s="86">
        <f>ROUND(C8*D8,2)</f>
        <v>24.47</v>
      </c>
      <c r="F8" s="68"/>
    </row>
    <row r="9" spans="1:10" ht="36" customHeight="1">
      <c r="A9" s="69"/>
      <c r="B9" s="70" t="s">
        <v>85</v>
      </c>
      <c r="C9" s="70"/>
      <c r="D9" s="70"/>
      <c r="E9" s="71">
        <f>SUM(E7:E8)</f>
        <v>28.369999999999997</v>
      </c>
    </row>
    <row r="10" spans="1:10" ht="38.25" customHeight="1">
      <c r="A10" s="158" t="s">
        <v>153</v>
      </c>
      <c r="B10" s="158"/>
      <c r="C10" s="158"/>
      <c r="D10" s="158"/>
      <c r="E10" s="158"/>
    </row>
    <row r="12" spans="1:10" s="37" customFormat="1" ht="16.5" customHeight="1">
      <c r="A12" s="39"/>
      <c r="E12" s="39"/>
      <c r="F12" s="39"/>
      <c r="G12" s="39"/>
      <c r="H12" s="39"/>
      <c r="I12" s="1"/>
    </row>
    <row r="13" spans="1:10" s="37" customFormat="1" ht="15.75" customHeight="1">
      <c r="A13" s="17"/>
      <c r="B13" s="39"/>
      <c r="C13" s="39"/>
      <c r="D13" s="39"/>
      <c r="E13" s="39"/>
      <c r="F13" s="39"/>
      <c r="G13" s="39"/>
      <c r="H13" s="39"/>
      <c r="I13" s="1"/>
    </row>
    <row r="14" spans="1:10" s="37" customFormat="1" ht="15.75">
      <c r="A14" s="16" t="s">
        <v>15</v>
      </c>
      <c r="B14" s="15"/>
      <c r="C14" s="15"/>
      <c r="D14" s="15"/>
      <c r="E14" s="124" t="s">
        <v>18</v>
      </c>
      <c r="F14" s="39"/>
      <c r="G14" s="39"/>
      <c r="H14" s="39"/>
      <c r="I14" s="1"/>
    </row>
    <row r="15" spans="1:10" s="37" customFormat="1" ht="16.5" customHeight="1">
      <c r="A15" s="17"/>
      <c r="B15" s="15"/>
      <c r="C15" s="15"/>
      <c r="D15" s="15"/>
      <c r="E15" s="124"/>
      <c r="F15" s="39"/>
      <c r="G15" s="39"/>
      <c r="H15" s="39"/>
      <c r="I15" s="1"/>
    </row>
    <row r="16" spans="1:10" s="37" customFormat="1" ht="15.75" customHeight="1">
      <c r="A16" s="16" t="s">
        <v>16</v>
      </c>
      <c r="B16" s="15"/>
      <c r="C16" s="15"/>
      <c r="D16" s="15"/>
      <c r="E16" s="124" t="s">
        <v>35</v>
      </c>
      <c r="F16" s="39"/>
      <c r="G16" s="39"/>
      <c r="H16" s="39"/>
      <c r="I16" s="1"/>
      <c r="J16" s="1"/>
    </row>
    <row r="17" spans="1:10" s="37" customFormat="1" ht="15.75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1" t="s">
        <v>36</v>
      </c>
    </row>
    <row r="28" spans="1:10" s="1" customFormat="1">
      <c r="A28" s="1" t="s">
        <v>37</v>
      </c>
    </row>
    <row r="29" spans="1:10" s="1" customFormat="1">
      <c r="A29" s="9"/>
    </row>
  </sheetData>
  <mergeCells count="2">
    <mergeCell ref="A3:E3"/>
    <mergeCell ref="A10:E10"/>
  </mergeCells>
  <phoneticPr fontId="29" type="noConversion"/>
  <pageMargins left="1.25" right="0.3" top="0.28000000000000003" bottom="0.32" header="0.3" footer="0.3"/>
  <pageSetup paperSize="9" scale="97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view="pageBreakPreview" zoomScale="90" workbookViewId="0">
      <selection activeCell="C23" sqref="C23"/>
    </sheetView>
  </sheetViews>
  <sheetFormatPr defaultColWidth="9.140625" defaultRowHeight="15"/>
  <cols>
    <col min="1" max="1" width="40.7109375" style="50" customWidth="1"/>
    <col min="2" max="2" width="8.5703125" style="51" customWidth="1"/>
    <col min="3" max="3" width="11.85546875" style="50" customWidth="1"/>
    <col min="4" max="4" width="9.28515625" style="50" bestFit="1" customWidth="1"/>
    <col min="5" max="6" width="9.42578125" style="50" bestFit="1" customWidth="1"/>
    <col min="7" max="16384" width="9.140625" style="50"/>
  </cols>
  <sheetData>
    <row r="1" spans="1:6">
      <c r="F1" s="100" t="s">
        <v>131</v>
      </c>
    </row>
    <row r="2" spans="1:6" ht="66" customHeight="1">
      <c r="A2" s="188" t="s">
        <v>132</v>
      </c>
      <c r="B2" s="188"/>
      <c r="C2" s="188"/>
      <c r="D2" s="188"/>
      <c r="E2" s="188"/>
      <c r="F2" s="188"/>
    </row>
    <row r="3" spans="1:6" ht="15.75">
      <c r="A3" s="90"/>
      <c r="B3" s="91"/>
      <c r="C3" s="90"/>
      <c r="D3" s="90"/>
      <c r="E3" s="90"/>
      <c r="F3" s="90"/>
    </row>
    <row r="4" spans="1:6" ht="38.25">
      <c r="A4" s="92" t="s">
        <v>67</v>
      </c>
      <c r="B4" s="92" t="s">
        <v>91</v>
      </c>
      <c r="C4" s="92" t="s">
        <v>92</v>
      </c>
      <c r="D4" s="92" t="s">
        <v>93</v>
      </c>
      <c r="E4" s="92" t="s">
        <v>69</v>
      </c>
      <c r="F4" s="92" t="s">
        <v>70</v>
      </c>
    </row>
    <row r="5" spans="1:6" ht="15.75">
      <c r="A5" s="108" t="s">
        <v>94</v>
      </c>
      <c r="B5" s="109" t="s">
        <v>95</v>
      </c>
      <c r="C5" s="109">
        <v>12</v>
      </c>
      <c r="D5" s="110">
        <f>12/C5</f>
        <v>1</v>
      </c>
      <c r="E5" s="132">
        <v>1000</v>
      </c>
      <c r="F5" s="93">
        <f t="shared" ref="F5:F16" si="0">ROUND((D5*E5),2)</f>
        <v>1000</v>
      </c>
    </row>
    <row r="6" spans="1:6" ht="15.75">
      <c r="A6" s="108" t="s">
        <v>96</v>
      </c>
      <c r="B6" s="109" t="s">
        <v>95</v>
      </c>
      <c r="C6" s="109">
        <v>36</v>
      </c>
      <c r="D6" s="111">
        <f t="shared" ref="D6:D16" si="1">12/C6</f>
        <v>0.33333333333333331</v>
      </c>
      <c r="E6" s="132">
        <v>460</v>
      </c>
      <c r="F6" s="93">
        <f t="shared" si="0"/>
        <v>153.33000000000001</v>
      </c>
    </row>
    <row r="7" spans="1:6" ht="15.75">
      <c r="A7" s="108" t="s">
        <v>97</v>
      </c>
      <c r="B7" s="109" t="s">
        <v>95</v>
      </c>
      <c r="C7" s="109">
        <v>24</v>
      </c>
      <c r="D7" s="110">
        <f t="shared" si="1"/>
        <v>0.5</v>
      </c>
      <c r="E7" s="132">
        <v>321.39999999999998</v>
      </c>
      <c r="F7" s="93">
        <f t="shared" si="0"/>
        <v>160.69999999999999</v>
      </c>
    </row>
    <row r="8" spans="1:6" ht="15.75">
      <c r="A8" s="108" t="s">
        <v>98</v>
      </c>
      <c r="B8" s="109" t="s">
        <v>95</v>
      </c>
      <c r="C8" s="109">
        <v>24</v>
      </c>
      <c r="D8" s="110">
        <f t="shared" si="1"/>
        <v>0.5</v>
      </c>
      <c r="E8" s="132">
        <v>332</v>
      </c>
      <c r="F8" s="93">
        <f t="shared" si="0"/>
        <v>166</v>
      </c>
    </row>
    <row r="9" spans="1:6" ht="15.75">
      <c r="A9" s="108" t="s">
        <v>99</v>
      </c>
      <c r="B9" s="109" t="s">
        <v>95</v>
      </c>
      <c r="C9" s="109">
        <v>12</v>
      </c>
      <c r="D9" s="110">
        <f t="shared" si="1"/>
        <v>1</v>
      </c>
      <c r="E9" s="132">
        <v>156</v>
      </c>
      <c r="F9" s="93">
        <f t="shared" si="0"/>
        <v>156</v>
      </c>
    </row>
    <row r="10" spans="1:6" ht="15.75">
      <c r="A10" s="108" t="s">
        <v>100</v>
      </c>
      <c r="B10" s="109" t="s">
        <v>95</v>
      </c>
      <c r="C10" s="133" t="s">
        <v>101</v>
      </c>
      <c r="D10" s="111">
        <f>12/36</f>
        <v>0.33333333333333331</v>
      </c>
      <c r="E10" s="132">
        <v>530</v>
      </c>
      <c r="F10" s="93">
        <f t="shared" si="0"/>
        <v>176.67</v>
      </c>
    </row>
    <row r="11" spans="1:6" ht="15.75">
      <c r="A11" s="108" t="s">
        <v>102</v>
      </c>
      <c r="B11" s="109" t="s">
        <v>95</v>
      </c>
      <c r="C11" s="133" t="s">
        <v>101</v>
      </c>
      <c r="D11" s="111">
        <f>12/36</f>
        <v>0.33333333333333331</v>
      </c>
      <c r="E11" s="132">
        <v>285</v>
      </c>
      <c r="F11" s="93">
        <f t="shared" si="0"/>
        <v>95</v>
      </c>
    </row>
    <row r="12" spans="1:6" ht="15.75">
      <c r="A12" s="108" t="s">
        <v>103</v>
      </c>
      <c r="B12" s="109" t="s">
        <v>95</v>
      </c>
      <c r="C12" s="133">
        <v>60</v>
      </c>
      <c r="D12" s="110">
        <f t="shared" si="1"/>
        <v>0.2</v>
      </c>
      <c r="E12" s="132">
        <v>320</v>
      </c>
      <c r="F12" s="93">
        <f t="shared" si="0"/>
        <v>64</v>
      </c>
    </row>
    <row r="13" spans="1:6" ht="17.25" customHeight="1">
      <c r="A13" s="112" t="s">
        <v>104</v>
      </c>
      <c r="B13" s="109" t="s">
        <v>95</v>
      </c>
      <c r="C13" s="133" t="s">
        <v>101</v>
      </c>
      <c r="D13" s="110">
        <f>12/24</f>
        <v>0.5</v>
      </c>
      <c r="E13" s="132">
        <v>220</v>
      </c>
      <c r="F13" s="93">
        <f t="shared" si="0"/>
        <v>110</v>
      </c>
    </row>
    <row r="14" spans="1:6" ht="15.75">
      <c r="A14" s="108" t="s">
        <v>105</v>
      </c>
      <c r="B14" s="109" t="s">
        <v>95</v>
      </c>
      <c r="C14" s="133" t="s">
        <v>101</v>
      </c>
      <c r="D14" s="110">
        <f>12/12</f>
        <v>1</v>
      </c>
      <c r="E14" s="132">
        <v>62.5</v>
      </c>
      <c r="F14" s="93">
        <f t="shared" si="0"/>
        <v>62.5</v>
      </c>
    </row>
    <row r="15" spans="1:6" ht="15.75">
      <c r="A15" s="112" t="s">
        <v>106</v>
      </c>
      <c r="B15" s="109" t="s">
        <v>95</v>
      </c>
      <c r="C15" s="109">
        <v>2</v>
      </c>
      <c r="D15" s="110">
        <f t="shared" si="1"/>
        <v>6</v>
      </c>
      <c r="E15" s="132">
        <v>82.5</v>
      </c>
      <c r="F15" s="93">
        <f t="shared" si="0"/>
        <v>495</v>
      </c>
    </row>
    <row r="16" spans="1:6" ht="15.75">
      <c r="A16" s="112" t="s">
        <v>107</v>
      </c>
      <c r="B16" s="109" t="s">
        <v>95</v>
      </c>
      <c r="C16" s="109">
        <v>1</v>
      </c>
      <c r="D16" s="110">
        <f t="shared" si="1"/>
        <v>12</v>
      </c>
      <c r="E16" s="132">
        <v>55.9</v>
      </c>
      <c r="F16" s="93">
        <f t="shared" si="0"/>
        <v>670.8</v>
      </c>
    </row>
    <row r="17" spans="1:6" ht="27.75" customHeight="1">
      <c r="A17" s="134" t="s">
        <v>147</v>
      </c>
      <c r="B17" s="97" t="s">
        <v>109</v>
      </c>
      <c r="C17" s="94"/>
      <c r="D17" s="94"/>
      <c r="E17" s="94"/>
      <c r="F17" s="95">
        <f>SUM(F5:F16)</f>
        <v>3310</v>
      </c>
    </row>
    <row r="18" spans="1:6" ht="27.75" customHeight="1">
      <c r="A18" s="134" t="s">
        <v>148</v>
      </c>
      <c r="B18" s="97" t="s">
        <v>109</v>
      </c>
      <c r="C18" s="94"/>
      <c r="D18" s="94"/>
      <c r="E18" s="94"/>
      <c r="F18" s="95">
        <f>F17*2</f>
        <v>6620</v>
      </c>
    </row>
    <row r="19" spans="1:6" ht="27.75" customHeight="1">
      <c r="A19" s="98" t="s">
        <v>149</v>
      </c>
      <c r="B19" s="97" t="s">
        <v>108</v>
      </c>
      <c r="C19" s="96"/>
      <c r="D19" s="96"/>
      <c r="E19" s="96"/>
      <c r="F19" s="96">
        <f>2002*2</f>
        <v>4004</v>
      </c>
    </row>
    <row r="20" spans="1:6" ht="45">
      <c r="A20" s="98" t="s">
        <v>150</v>
      </c>
      <c r="B20" s="97" t="s">
        <v>108</v>
      </c>
      <c r="C20" s="96"/>
      <c r="D20" s="96"/>
      <c r="E20" s="96"/>
      <c r="F20" s="135">
        <f>('1_ВОП'!F6+'1_ВОП'!F7)*2</f>
        <v>2</v>
      </c>
    </row>
    <row r="21" spans="1:6" ht="27.75" customHeight="1">
      <c r="A21" s="98" t="s">
        <v>130</v>
      </c>
      <c r="B21" s="97" t="s">
        <v>109</v>
      </c>
      <c r="C21" s="96"/>
      <c r="D21" s="96"/>
      <c r="E21" s="96"/>
      <c r="F21" s="136">
        <f>ROUND(F18/F19*F20,2)</f>
        <v>3.31</v>
      </c>
    </row>
    <row r="25" spans="1:6" s="15" customFormat="1" ht="15.75">
      <c r="A25" s="16" t="s">
        <v>15</v>
      </c>
      <c r="E25" s="16" t="s">
        <v>18</v>
      </c>
    </row>
    <row r="26" spans="1:6" s="15" customFormat="1" ht="15.75">
      <c r="A26" s="17"/>
      <c r="E26" s="16"/>
    </row>
    <row r="27" spans="1:6" s="15" customFormat="1" ht="15.75">
      <c r="A27" s="16" t="s">
        <v>16</v>
      </c>
      <c r="E27" s="16" t="s">
        <v>35</v>
      </c>
    </row>
  </sheetData>
  <dataConsolidate/>
  <mergeCells count="1">
    <mergeCell ref="A2:F2"/>
  </mergeCells>
  <phoneticPr fontId="29" type="noConversion"/>
  <pageMargins left="0.75" right="0.34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Зам Т</vt:lpstr>
      <vt:lpstr>Зам В </vt:lpstr>
      <vt:lpstr>матерТ</vt:lpstr>
      <vt:lpstr>матерВ</vt:lpstr>
      <vt:lpstr>1_ВОП</vt:lpstr>
      <vt:lpstr>людгод (сто)</vt:lpstr>
      <vt:lpstr>опломб Т</vt:lpstr>
      <vt:lpstr>опломб В</vt:lpstr>
      <vt:lpstr>спецодяг</vt:lpstr>
      <vt:lpstr>'1_ВОП'!Область_печати</vt:lpstr>
      <vt:lpstr>'Зам В '!Область_печати</vt:lpstr>
      <vt:lpstr>'Зам Т'!Область_печати</vt:lpstr>
      <vt:lpstr>'людгод (сто)'!Область_печати</vt:lpstr>
      <vt:lpstr>матерВ!Область_печати</vt:lpstr>
      <vt:lpstr>матерТ!Область_печати</vt:lpstr>
      <vt:lpstr>'опломб В'!Область_печати</vt:lpstr>
      <vt:lpstr>'опломб Т'!Область_печати</vt:lpstr>
      <vt:lpstr>спецодяг!Область_печати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2020-12-23T12:37:47Z</cp:lastPrinted>
  <dcterms:created xsi:type="dcterms:W3CDTF">2006-09-16T00:00:00Z</dcterms:created>
  <dcterms:modified xsi:type="dcterms:W3CDTF">2020-12-24T06:12:01Z</dcterms:modified>
</cp:coreProperties>
</file>